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I:\Skånes Universitetssjukhus\GastroMed-AKN\"/>
    </mc:Choice>
  </mc:AlternateContent>
  <xr:revisionPtr revIDLastSave="0" documentId="13_ncr:1_{8785088B-2798-4E4F-92F0-0FD64422EF93}" xr6:coauthVersionLast="47" xr6:coauthVersionMax="47" xr10:uidLastSave="{00000000-0000-0000-0000-000000000000}"/>
  <workbookProtection workbookAlgorithmName="SHA-512" workbookHashValue="1BvEz/BlpSH9w1TBupjtQa2FqCaxZmB/ge76PunXcQyK1LR6trzCNyVyeCPPc1GMenyUL0TL1RLtoIKvptyruQ==" workbookSaltValue="Zl2R0buw0PnroMGV/ANoiQ==" workbookSpinCount="100000" lockStructure="1"/>
  <bookViews>
    <workbookView xWindow="-110" yWindow="-110" windowWidth="19420" windowHeight="11500" tabRatio="804" activeTab="6" xr2:uid="{00000000-000D-0000-FFFF-FFFF00000000}"/>
  </bookViews>
  <sheets>
    <sheet name="Frukost, mellanmål och dryck" sheetId="4" r:id="rId1"/>
    <sheet name="Lunch och middag" sheetId="9" r:id="rId2"/>
    <sheet name="Nya Måltider" sheetId="10" r:id="rId3"/>
    <sheet name="Näringsdrycker" sheetId="2" r:id="rId4"/>
    <sheet name="Sondnäring" sheetId="5" r:id="rId5"/>
    <sheet name="Parenteral nutrition och vätska" sheetId="6" r:id="rId6"/>
    <sheet name="Resultat" sheetId="1" r:id="rId7"/>
  </sheets>
  <definedNames>
    <definedName name="_xlnm._FilterDatabase" localSheetId="0" hidden="1">'Frukost, mellanmål och dryck'!$A$8:$O$114</definedName>
    <definedName name="kcalsondmat">Sondnäring!$B$24</definedName>
    <definedName name="mlPN" localSheetId="5">'Parenteral nutrition och vätska'!#REF!</definedName>
    <definedName name="mlPN">Resultat!#REF!</definedName>
    <definedName name="mlPV" localSheetId="5">'Parenteral nutrition och vätska'!$B$31</definedName>
    <definedName name="mlPV">Resultat!#REF!</definedName>
    <definedName name="NDkcal">Näringsdrycker!#REF!</definedName>
    <definedName name="NDml">Näringsdrycker!#REF!</definedName>
    <definedName name="peroralnutrition">'Frukost, mellanmål och dryck'!#REF!</definedName>
    <definedName name="peroralvätska">'Frukost, mellanmål och dryck'!#REF!</definedName>
    <definedName name="PNkcal" localSheetId="5">'Parenteral nutrition och vätska'!#REF!</definedName>
    <definedName name="PNkcal">Resultat!#REF!</definedName>
    <definedName name="Tilläggkcal">Näringsdrycker!#REF!</definedName>
    <definedName name="Tilläggml">Näringsdrycker!#REF!</definedName>
    <definedName name="_xlnm.Print_Area" localSheetId="0">'Frukost, mellanmål och dryck'!$A$1:$W$57</definedName>
    <definedName name="_xlnm.Print_Area" localSheetId="3">Näringsdrycker!$A$1:$N$30</definedName>
    <definedName name="_xlnm.Print_Area" localSheetId="5">'Parenteral nutrition och vätska'!$A$1:$Q$39</definedName>
    <definedName name="_xlnm.Print_Area" localSheetId="4">Sondnäring!$A$1:$I$29</definedName>
    <definedName name="vätskasondmat">Sondnäring!$B$25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9" l="1"/>
  <c r="E14" i="9"/>
  <c r="B22" i="9" s="1"/>
  <c r="K13" i="10"/>
  <c r="K12" i="10"/>
  <c r="J24" i="10" s="1"/>
  <c r="Q9" i="4"/>
  <c r="D15" i="9"/>
  <c r="C15" i="9"/>
  <c r="D14" i="9"/>
  <c r="I12" i="10"/>
  <c r="E6" i="2"/>
  <c r="E17" i="4"/>
  <c r="E19" i="4"/>
  <c r="E20" i="4"/>
  <c r="E21" i="4"/>
  <c r="E23" i="4"/>
  <c r="E9" i="4"/>
  <c r="C6" i="9"/>
  <c r="E19" i="5"/>
  <c r="D19" i="5"/>
  <c r="C19" i="5"/>
  <c r="E20" i="5"/>
  <c r="D20" i="5"/>
  <c r="C20" i="5"/>
  <c r="E21" i="5"/>
  <c r="D21" i="5"/>
  <c r="C21" i="5"/>
  <c r="E18" i="5"/>
  <c r="D18" i="5"/>
  <c r="E17" i="5"/>
  <c r="D17" i="5"/>
  <c r="C17" i="5"/>
  <c r="D13" i="5"/>
  <c r="C13" i="5"/>
  <c r="E12" i="5"/>
  <c r="D12" i="5"/>
  <c r="C12" i="5"/>
  <c r="E8" i="5"/>
  <c r="D8" i="5"/>
  <c r="C8" i="5"/>
  <c r="E11" i="2"/>
  <c r="D11" i="2"/>
  <c r="C11" i="2"/>
  <c r="D12" i="2"/>
  <c r="C12" i="2"/>
  <c r="E8" i="2"/>
  <c r="D8" i="2"/>
  <c r="C8" i="2"/>
  <c r="D9" i="2"/>
  <c r="C9" i="2"/>
  <c r="C10" i="9"/>
  <c r="D9" i="9"/>
  <c r="C9" i="9"/>
  <c r="D8" i="9"/>
  <c r="C8" i="9"/>
  <c r="D17" i="9"/>
  <c r="C17" i="9"/>
  <c r="D16" i="9"/>
  <c r="C16" i="9"/>
  <c r="C14" i="9"/>
  <c r="D13" i="9"/>
  <c r="C13" i="9"/>
  <c r="D12" i="9"/>
  <c r="C12" i="9"/>
  <c r="D7" i="9"/>
  <c r="C7" i="9"/>
  <c r="D6" i="9"/>
  <c r="J15" i="10"/>
  <c r="I15" i="10"/>
  <c r="P8" i="4"/>
  <c r="O8" i="4"/>
  <c r="I17" i="4"/>
  <c r="J10" i="4"/>
  <c r="I10" i="4"/>
  <c r="O21" i="4"/>
  <c r="O20" i="4"/>
  <c r="O15" i="4"/>
  <c r="O14" i="4"/>
  <c r="I28" i="4"/>
  <c r="I27" i="4"/>
  <c r="I25" i="4"/>
  <c r="J23" i="4"/>
  <c r="I23" i="4"/>
  <c r="J24" i="4"/>
  <c r="I24" i="4"/>
  <c r="I15" i="4"/>
  <c r="J20" i="4"/>
  <c r="I20" i="4"/>
  <c r="D52" i="4"/>
  <c r="C52" i="4"/>
  <c r="D51" i="4"/>
  <c r="C51" i="4"/>
  <c r="C50" i="4"/>
  <c r="D43" i="4"/>
  <c r="C43" i="4"/>
  <c r="D21" i="4"/>
  <c r="C21" i="4"/>
  <c r="D20" i="4"/>
  <c r="C20" i="4"/>
  <c r="D18" i="4"/>
  <c r="C18" i="4"/>
  <c r="D9" i="4"/>
  <c r="D10" i="4"/>
  <c r="C10" i="4"/>
  <c r="J10" i="10"/>
  <c r="I10" i="10"/>
  <c r="J7" i="10"/>
  <c r="I7" i="10"/>
  <c r="J9" i="10"/>
  <c r="I9" i="10"/>
  <c r="I8" i="10"/>
  <c r="D21" i="10"/>
  <c r="C21" i="10"/>
  <c r="D20" i="10"/>
  <c r="C20" i="10"/>
  <c r="D19" i="10"/>
  <c r="C19" i="10"/>
  <c r="D16" i="10"/>
  <c r="C14" i="10"/>
  <c r="D13" i="10"/>
  <c r="C13" i="10"/>
  <c r="D11" i="10"/>
  <c r="C11" i="10"/>
  <c r="D10" i="10"/>
  <c r="C10" i="10"/>
  <c r="D7" i="10"/>
  <c r="C7" i="10"/>
  <c r="D6" i="10"/>
  <c r="C6" i="10"/>
  <c r="J6" i="10"/>
  <c r="I13" i="10"/>
  <c r="C17" i="10"/>
  <c r="D8" i="10"/>
  <c r="C8" i="10"/>
  <c r="J8" i="10"/>
  <c r="I6" i="10"/>
  <c r="J14" i="10"/>
  <c r="I14" i="10"/>
  <c r="J13" i="10"/>
  <c r="J12" i="10"/>
  <c r="C16" i="10"/>
  <c r="D14" i="10"/>
  <c r="E11" i="4"/>
  <c r="E7" i="4"/>
  <c r="E6" i="4"/>
  <c r="B21" i="9" l="1"/>
  <c r="D17" i="10"/>
  <c r="E16" i="5"/>
  <c r="E13" i="5"/>
  <c r="E9" i="5"/>
  <c r="E7" i="5"/>
  <c r="E6" i="5"/>
  <c r="I13" i="2"/>
  <c r="K13" i="2"/>
  <c r="K9" i="2"/>
  <c r="K8" i="2"/>
  <c r="E16" i="2"/>
  <c r="E7" i="2"/>
  <c r="J27" i="2" l="1"/>
  <c r="I26" i="2"/>
  <c r="I24" i="2"/>
  <c r="K24" i="2"/>
  <c r="J24" i="2"/>
  <c r="K15" i="2"/>
  <c r="J15" i="2"/>
  <c r="I15" i="2"/>
  <c r="J13" i="2"/>
  <c r="J12" i="2"/>
  <c r="I12" i="2"/>
  <c r="J8" i="2"/>
  <c r="J7" i="2"/>
  <c r="I7" i="2"/>
  <c r="J6" i="2"/>
  <c r="O27" i="4"/>
  <c r="O19" i="4"/>
  <c r="O13" i="4"/>
  <c r="P6" i="4"/>
  <c r="O6" i="4"/>
  <c r="J16" i="4"/>
  <c r="J13" i="4"/>
  <c r="I9" i="4"/>
  <c r="I8" i="4"/>
  <c r="I7" i="4"/>
  <c r="D46" i="4"/>
  <c r="C46" i="4"/>
  <c r="C28" i="4"/>
  <c r="D27" i="4"/>
  <c r="C27" i="4"/>
  <c r="D22" i="4" l="1"/>
  <c r="D19" i="4"/>
  <c r="J19" i="2"/>
  <c r="I19" i="2"/>
  <c r="K19" i="2"/>
  <c r="I19" i="4"/>
  <c r="E10" i="5" l="1"/>
  <c r="C7" i="5"/>
  <c r="I23" i="2"/>
  <c r="C16" i="2"/>
  <c r="E17" i="2"/>
  <c r="D17" i="2"/>
  <c r="C17" i="2"/>
  <c r="C34" i="4"/>
  <c r="C6" i="4"/>
  <c r="E13" i="2"/>
  <c r="K25" i="2"/>
  <c r="E12" i="2"/>
  <c r="E10" i="2"/>
  <c r="C6" i="5" l="1"/>
  <c r="J28" i="2"/>
  <c r="I28" i="2"/>
  <c r="C22" i="2" s="1"/>
  <c r="I25" i="2"/>
  <c r="I8" i="2"/>
  <c r="C13" i="2"/>
  <c r="D13" i="2"/>
  <c r="D6" i="2"/>
  <c r="C6" i="2"/>
  <c r="E10" i="4" l="1"/>
  <c r="E16" i="4"/>
  <c r="E15" i="4"/>
  <c r="E14" i="4"/>
  <c r="O9" i="4" l="1"/>
  <c r="J32" i="4"/>
  <c r="I29" i="4"/>
  <c r="I26" i="4"/>
  <c r="J9" i="4"/>
  <c r="J8" i="4"/>
  <c r="J11" i="4"/>
  <c r="I16" i="4"/>
  <c r="I13" i="4"/>
  <c r="I12" i="4"/>
  <c r="I6" i="4"/>
  <c r="D41" i="4"/>
  <c r="D42" i="4"/>
  <c r="D44" i="4"/>
  <c r="D49" i="4"/>
  <c r="C49" i="4"/>
  <c r="C48" i="4"/>
  <c r="C44" i="4"/>
  <c r="C42" i="4"/>
  <c r="C41" i="4"/>
  <c r="D28" i="4"/>
  <c r="C22" i="4"/>
  <c r="C19" i="4"/>
  <c r="C17" i="4"/>
  <c r="D17" i="4"/>
  <c r="C30" i="4"/>
  <c r="I18" i="2"/>
  <c r="K18" i="2"/>
  <c r="J18" i="2"/>
  <c r="K23" i="2"/>
  <c r="C24" i="2" s="1"/>
  <c r="I27" i="2"/>
  <c r="I29" i="2"/>
  <c r="K29" i="2"/>
  <c r="I30" i="2"/>
  <c r="P36" i="4" l="1"/>
  <c r="O36" i="4"/>
  <c r="P35" i="4"/>
  <c r="O35" i="4"/>
  <c r="P34" i="4"/>
  <c r="O34" i="4"/>
  <c r="P33" i="4"/>
  <c r="O33" i="4"/>
  <c r="P32" i="4"/>
  <c r="O32" i="4"/>
  <c r="P31" i="4"/>
  <c r="O31" i="4"/>
  <c r="O30" i="4"/>
  <c r="O29" i="4"/>
  <c r="O28" i="4"/>
  <c r="P27" i="4"/>
  <c r="P26" i="4"/>
  <c r="O26" i="4"/>
  <c r="P25" i="4"/>
  <c r="O25" i="4"/>
  <c r="I32" i="4"/>
  <c r="J31" i="4"/>
  <c r="I31" i="4"/>
  <c r="J29" i="4"/>
  <c r="J30" i="4"/>
  <c r="I30" i="4"/>
  <c r="J26" i="4"/>
  <c r="J27" i="4"/>
  <c r="C26" i="4"/>
  <c r="D26" i="4"/>
  <c r="K14" i="2" l="1"/>
  <c r="J14" i="2"/>
  <c r="I14" i="2"/>
  <c r="I16" i="2"/>
  <c r="J16" i="2"/>
  <c r="K16" i="2"/>
  <c r="I17" i="2"/>
  <c r="J17" i="2"/>
  <c r="K17" i="2"/>
  <c r="I10" i="2"/>
  <c r="J10" i="2"/>
  <c r="K10" i="2"/>
  <c r="I9" i="2"/>
  <c r="J9" i="2"/>
  <c r="D7" i="2"/>
  <c r="C7" i="2"/>
  <c r="E18" i="2"/>
  <c r="D18" i="2"/>
  <c r="C18" i="2"/>
  <c r="D16" i="2"/>
  <c r="J12" i="4" l="1"/>
  <c r="I11" i="4"/>
  <c r="I14" i="4"/>
  <c r="I18" i="4"/>
  <c r="J18" i="4"/>
  <c r="J19" i="4"/>
  <c r="J28" i="4"/>
  <c r="J25" i="4"/>
  <c r="J7" i="4"/>
  <c r="P9" i="4"/>
  <c r="O22" i="4"/>
  <c r="O18" i="4"/>
  <c r="O17" i="4"/>
  <c r="O16" i="4"/>
  <c r="O12" i="4"/>
  <c r="P7" i="4"/>
  <c r="O7" i="4"/>
  <c r="D30" i="4"/>
  <c r="D29" i="4"/>
  <c r="C29" i="4"/>
  <c r="D47" i="4"/>
  <c r="C47" i="4"/>
  <c r="D45" i="4"/>
  <c r="C45" i="4"/>
  <c r="D16" i="4" l="1"/>
  <c r="C16" i="4"/>
  <c r="D15" i="4"/>
  <c r="C15" i="4"/>
  <c r="D14" i="4"/>
  <c r="C14" i="4"/>
  <c r="D23" i="4"/>
  <c r="C23" i="4"/>
  <c r="C9" i="4"/>
  <c r="D10" i="5" l="1"/>
  <c r="C10" i="5"/>
  <c r="E9" i="2" l="1"/>
  <c r="D23" i="6" l="1"/>
  <c r="D16" i="5" l="1"/>
  <c r="K11" i="2" l="1"/>
  <c r="J11" i="2"/>
  <c r="I11" i="2"/>
  <c r="C36" i="4" l="1"/>
  <c r="C18" i="5" l="1"/>
  <c r="C16" i="5"/>
  <c r="C39" i="4" l="1"/>
  <c r="C38" i="4"/>
  <c r="D36" i="4"/>
  <c r="D35" i="4"/>
  <c r="C35" i="4"/>
  <c r="D33" i="4"/>
  <c r="C33" i="4"/>
  <c r="D8" i="4"/>
  <c r="C8" i="4"/>
  <c r="C7" i="4"/>
  <c r="E8" i="4" l="1"/>
  <c r="D34" i="4"/>
  <c r="D39" i="4"/>
  <c r="D40" i="4"/>
  <c r="C37" i="4"/>
  <c r="C40" i="4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K15" i="1"/>
  <c r="E11" i="5"/>
  <c r="E14" i="5"/>
  <c r="E15" i="5"/>
  <c r="D6" i="6"/>
  <c r="D7" i="6"/>
  <c r="D8" i="6"/>
  <c r="D9" i="6"/>
  <c r="D10" i="6"/>
  <c r="D11" i="6"/>
  <c r="D12" i="6"/>
  <c r="D13" i="6"/>
  <c r="D14" i="6"/>
  <c r="D15" i="6"/>
  <c r="D6" i="5"/>
  <c r="D7" i="5"/>
  <c r="D9" i="5"/>
  <c r="D11" i="5"/>
  <c r="D14" i="5"/>
  <c r="D15" i="5"/>
  <c r="C9" i="5"/>
  <c r="C11" i="5"/>
  <c r="C14" i="5"/>
  <c r="C15" i="5"/>
  <c r="K12" i="2"/>
  <c r="K7" i="2"/>
  <c r="K6" i="2"/>
  <c r="C10" i="2"/>
  <c r="I6" i="2"/>
  <c r="D10" i="2"/>
  <c r="C23" i="2" s="1"/>
  <c r="N45" i="4" l="1"/>
  <c r="K13" i="1"/>
  <c r="N44" i="4"/>
  <c r="G13" i="1"/>
  <c r="I13" i="1"/>
  <c r="C24" i="5"/>
  <c r="G14" i="1" s="1"/>
  <c r="C25" i="5"/>
  <c r="I14" i="1" s="1"/>
  <c r="D22" i="6"/>
  <c r="I15" i="1" s="1"/>
  <c r="D21" i="6"/>
  <c r="G15" i="1" s="1"/>
  <c r="C26" i="5"/>
  <c r="K14" i="1" s="1"/>
  <c r="J23" i="10" l="1"/>
  <c r="I12" i="1" s="1"/>
  <c r="I17" i="1" s="1"/>
  <c r="J22" i="10"/>
  <c r="N46" i="4"/>
  <c r="K12" i="1" s="1"/>
  <c r="K17" i="1" s="1"/>
  <c r="B20" i="9"/>
  <c r="G12" i="1" l="1"/>
  <c r="G1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104893</author>
  </authors>
  <commentList>
    <comment ref="A3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104893:</t>
        </r>
        <r>
          <rPr>
            <sz val="8"/>
            <color indexed="81"/>
            <rFont val="Tahoma"/>
            <family val="2"/>
          </rPr>
          <t xml:space="preserve">
Genomsnitt av grahamsbröd, 70% marg (5g),15 g ost och ljus skiva, 15 g skinka och 70% marg (5 g)</t>
        </r>
      </text>
    </comment>
    <comment ref="A34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104893:</t>
        </r>
        <r>
          <rPr>
            <sz val="8"/>
            <color indexed="81"/>
            <rFont val="Tahoma"/>
            <family val="2"/>
          </rPr>
          <t xml:space="preserve">
Som ovan men 1 sk Husman i stället.</t>
        </r>
      </text>
    </comment>
    <comment ref="A44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104893:</t>
        </r>
        <r>
          <rPr>
            <sz val="8"/>
            <color indexed="81"/>
            <rFont val="Tahoma"/>
            <family val="2"/>
          </rPr>
          <t xml:space="preserve">
22 g (2 skivor a 2x4 cm, ca 3 mm tjocka)</t>
        </r>
      </text>
    </comment>
  </commentList>
</comments>
</file>

<file path=xl/sharedStrings.xml><?xml version="1.0" encoding="utf-8"?>
<sst xmlns="http://schemas.openxmlformats.org/spreadsheetml/2006/main" count="391" uniqueCount="268">
  <si>
    <t>Glucos 5%</t>
  </si>
  <si>
    <t>Glucos 10%</t>
  </si>
  <si>
    <t>ml</t>
  </si>
  <si>
    <t>Havregrynsgröt</t>
  </si>
  <si>
    <t>Smörgås, bröd, pålägg, ägg</t>
  </si>
  <si>
    <t>Mjuk smörgås (bröd, margarin, pålägg)</t>
  </si>
  <si>
    <t>Kakor, kex, skorpor</t>
  </si>
  <si>
    <t>Godis, snacks</t>
  </si>
  <si>
    <t>Tillbehör</t>
  </si>
  <si>
    <t>Microrätter och varma soppor</t>
  </si>
  <si>
    <t>INSTRUKTION</t>
  </si>
  <si>
    <t>NaCl</t>
  </si>
  <si>
    <t>Ringer</t>
  </si>
  <si>
    <t>Sandimmun</t>
  </si>
  <si>
    <t>Antibiotikavätska</t>
  </si>
  <si>
    <t>Spoldropp</t>
  </si>
  <si>
    <t>Cytostatikavätska</t>
  </si>
  <si>
    <t>Övriga vätskor</t>
  </si>
  <si>
    <t>Isosource Protein</t>
  </si>
  <si>
    <t>Sondnäring</t>
  </si>
  <si>
    <t>Kabiven</t>
  </si>
  <si>
    <t>SmofKabiven</t>
  </si>
  <si>
    <t>Smof Kabiven Perifer</t>
  </si>
  <si>
    <t>kcal</t>
  </si>
  <si>
    <t>Survimed OPD</t>
  </si>
  <si>
    <t>protein</t>
  </si>
  <si>
    <t>Olimel N9</t>
  </si>
  <si>
    <t>Olimel N7</t>
  </si>
  <si>
    <t>Olimel N5</t>
  </si>
  <si>
    <t>Olimel Perifer N4</t>
  </si>
  <si>
    <t>Nutriflex lipid peri</t>
  </si>
  <si>
    <t>Nutriflex lipid plus</t>
  </si>
  <si>
    <t>Nutriflex lipid special</t>
  </si>
  <si>
    <t>Nutriflex omega special</t>
  </si>
  <si>
    <t>Ange given volym i ml i den gula kolumnen</t>
  </si>
  <si>
    <t>Ange given volym i ml i den lila kolumnen</t>
  </si>
  <si>
    <t>Isosource Standard</t>
  </si>
  <si>
    <t>ProvideXtra Drink, 200 ml/fl</t>
  </si>
  <si>
    <t>Renilon 4.0, 125 ml/förp</t>
  </si>
  <si>
    <t>Renilon 7.5, 125 ml/förp</t>
  </si>
  <si>
    <t>Ange konsumerad mängd i ml eller gram i den blå kolumnen</t>
  </si>
  <si>
    <t>Berikningsprodukter</t>
  </si>
  <si>
    <t>Liquigen</t>
  </si>
  <si>
    <t>MCT-olja</t>
  </si>
  <si>
    <t>g</t>
  </si>
  <si>
    <t>Kabiven peri</t>
  </si>
  <si>
    <t>SmofKabiven peri</t>
  </si>
  <si>
    <t>Olimel N7/5/4</t>
  </si>
  <si>
    <t>Nutriflex peri o plus</t>
  </si>
  <si>
    <t>N-flex special o omega spec</t>
  </si>
  <si>
    <t>Glukos 2,5%</t>
  </si>
  <si>
    <t>Fresubin Protein Energy, 200 ml/fl</t>
  </si>
  <si>
    <t>Fresubin Dessert Fruit, 125 g/bägare</t>
  </si>
  <si>
    <t>dl</t>
  </si>
  <si>
    <t>Fruktyoghurt inkl laktosfri och vanilj</t>
  </si>
  <si>
    <t>Mjölk, fil, yoghurt, grädde</t>
  </si>
  <si>
    <t>antal</t>
  </si>
  <si>
    <t>Mjukt bröd, skiva</t>
  </si>
  <si>
    <t>Hårt bröd, skiva</t>
  </si>
  <si>
    <t>Ägg</t>
  </si>
  <si>
    <t>Ange mängd i den enhet som står överst vid varje grupp. Vid del av antal anges mänden med decimal, tex 0,5 eller 1,5.</t>
  </si>
  <si>
    <t>Nutrison Protein Plus Multifibre</t>
  </si>
  <si>
    <t>Fresubin Complete 1000 kcal</t>
  </si>
  <si>
    <t>Fresubin Complete 1200 kcal</t>
  </si>
  <si>
    <t>vätska</t>
  </si>
  <si>
    <t>Energi från sondnäring:</t>
  </si>
  <si>
    <t>Protein från sondnäring:</t>
  </si>
  <si>
    <t>Vätska från sondnäring:</t>
  </si>
  <si>
    <t>Anpassat innehåll eller konsistens</t>
  </si>
  <si>
    <t>Energi från näringsdrycker:</t>
  </si>
  <si>
    <t xml:space="preserve">Protein från näringsdrycker: </t>
  </si>
  <si>
    <t xml:space="preserve">Vätska från näringsdrycker: </t>
  </si>
  <si>
    <t>I den gröna kolumnen skriver man 1 om hela portionen äts upp, 0,75 om 3/4 av portionen äts upp, 0,5 om hälften äts upp osv</t>
  </si>
  <si>
    <t>Choklad, ruta eller pralin</t>
  </si>
  <si>
    <t>Salta pinnar</t>
  </si>
  <si>
    <t>Popcorn, dl</t>
  </si>
  <si>
    <t>Potatischips, dl</t>
  </si>
  <si>
    <t>Smågodis, g</t>
  </si>
  <si>
    <t>Smågodis, bit</t>
  </si>
  <si>
    <t>Naturgodis, g</t>
  </si>
  <si>
    <t>Fryst enportionsrätt</t>
  </si>
  <si>
    <t>Färsk frukt, banan</t>
  </si>
  <si>
    <t>Socker, bit</t>
  </si>
  <si>
    <t>Socker, msk</t>
  </si>
  <si>
    <t>Socker, rör</t>
  </si>
  <si>
    <t>Mos, sylt, marmelad, msk</t>
  </si>
  <si>
    <t>Mat och dryck</t>
  </si>
  <si>
    <t>Näringsdryck och berikning</t>
  </si>
  <si>
    <t>Parenteral nutrition och vätska</t>
  </si>
  <si>
    <t>Elemental 028 Extra, 1 påse till slutvolym 500 ml</t>
  </si>
  <si>
    <t xml:space="preserve">            </t>
  </si>
  <si>
    <t>Energi från frukost, mellanmål och dryck:</t>
  </si>
  <si>
    <t>Protein från frukost, mellanmål och dryck:</t>
  </si>
  <si>
    <t>Vätska från frukost, mellanmål och dryck:</t>
  </si>
  <si>
    <t>Parenteral nutrition</t>
  </si>
  <si>
    <t>Parenteral vätska</t>
  </si>
  <si>
    <t xml:space="preserve">protein </t>
  </si>
  <si>
    <t>energi</t>
  </si>
  <si>
    <t>Energi från parenteral nutrition:</t>
  </si>
  <si>
    <t>Protein från parenteral nutrition:</t>
  </si>
  <si>
    <t xml:space="preserve">Vätska från parenteral nutrition och vätska: </t>
  </si>
  <si>
    <t>Energi från lunch och middag:</t>
  </si>
  <si>
    <t>Protein från lunch och middag:</t>
  </si>
  <si>
    <t>Vätska från lunch och middag:</t>
  </si>
  <si>
    <r>
      <t>Nötter, mande</t>
    </r>
    <r>
      <rPr>
        <sz val="10"/>
        <rFont val="Arial"/>
        <family val="2"/>
      </rPr>
      <t>l, dl</t>
    </r>
  </si>
  <si>
    <r>
      <t xml:space="preserve">Torkad frukt, </t>
    </r>
    <r>
      <rPr>
        <sz val="10"/>
        <rFont val="Arial"/>
        <family val="2"/>
      </rPr>
      <t>dl</t>
    </r>
  </si>
  <si>
    <t>Sill, gaffelbit</t>
  </si>
  <si>
    <t>Chokladkaka, 100 g/kaka</t>
  </si>
  <si>
    <t>Totalt dygnsintag</t>
  </si>
  <si>
    <t>Energi</t>
  </si>
  <si>
    <t>Protein</t>
  </si>
  <si>
    <t>Vätska</t>
  </si>
  <si>
    <t>Inlagd gurka, msk</t>
  </si>
  <si>
    <t>Glass, grädd, 1 bägare</t>
  </si>
  <si>
    <t>Ostbågar, dl</t>
  </si>
  <si>
    <t>Fresubin 2 kcal HP Fibre</t>
  </si>
  <si>
    <t>Fresubin Yocrème, 125 g/bägare</t>
  </si>
  <si>
    <t>Fresubin Protein Powder, 1 skopa = 5 g</t>
  </si>
  <si>
    <t>Icke-klara</t>
  </si>
  <si>
    <t>Klara</t>
  </si>
  <si>
    <t>Gröt, flingor</t>
  </si>
  <si>
    <t>Fryst paj</t>
  </si>
  <si>
    <t>Resource Addera Plus, 200 ml/fl</t>
  </si>
  <si>
    <t>Elemental 028 Extra Liquid, 250 ml/förp</t>
  </si>
  <si>
    <t>Isosource Protein Fibre</t>
  </si>
  <si>
    <t>Havredryck</t>
  </si>
  <si>
    <t>Sojadryck</t>
  </si>
  <si>
    <t>Fresubin 2 kcal drink med eller utan fiber, 200ml/fl</t>
  </si>
  <si>
    <t>Fresubin 2 kcal crème, 125 g/bägare</t>
  </si>
  <si>
    <t>Chokladdryck (blandad med vatten)</t>
  </si>
  <si>
    <r>
      <t xml:space="preserve">Kaffe, te, vatten, lightdryck, lightläsk, </t>
    </r>
    <r>
      <rPr>
        <sz val="10"/>
        <rFont val="Arial"/>
        <family val="2"/>
      </rPr>
      <t>drickbuljong</t>
    </r>
  </si>
  <si>
    <t>Mjölk, fil, naturell youghurt (3 %)</t>
  </si>
  <si>
    <t>Mellanmjölk (1,5 %)</t>
  </si>
  <si>
    <t>Lättmjölk, lättfil, lättyoghurt (0,5 %)</t>
  </si>
  <si>
    <t>Müsli (frukt)</t>
  </si>
  <si>
    <t>Kesella</t>
  </si>
  <si>
    <t>Pålägg (ost, medwurst), per smörgås</t>
  </si>
  <si>
    <t>Pålägg (skinka, kyckling), per smörgås</t>
  </si>
  <si>
    <t>Pålägg (leverpastej), per smörgås</t>
  </si>
  <si>
    <t>Makrill i tomatsås, 60 g</t>
  </si>
  <si>
    <t>Mellanmål, glass, frukt, kakor</t>
  </si>
  <si>
    <t>Glass, utan tillsatt socker, 1 bägare</t>
  </si>
  <si>
    <t>Kräm, dl</t>
  </si>
  <si>
    <t>Färsk frukt, st/ vindruvor, dl</t>
  </si>
  <si>
    <t>Kelda soppa, dl</t>
  </si>
  <si>
    <t>Rödbetssallad, msk</t>
  </si>
  <si>
    <t>Honung, 25g</t>
  </si>
  <si>
    <t>Råkost</t>
  </si>
  <si>
    <t>Fantomalt, 1 skopa = 5 g</t>
  </si>
  <si>
    <t>Nutrical, 1 msk = 15 ml</t>
  </si>
  <si>
    <t>Nutrison Powder, 1/2 dl = 20 g</t>
  </si>
  <si>
    <t>Drycker, kalla soppor, välling</t>
  </si>
  <si>
    <t>Protino dessertyoghurt, 1 st</t>
  </si>
  <si>
    <t>Kaviar, msk</t>
  </si>
  <si>
    <t>Juice, saft, ProViva</t>
  </si>
  <si>
    <t>Mannagrynsgröt (på 3 % mjölk)</t>
  </si>
  <si>
    <t>Chokladpudding Jacky, 1 st</t>
  </si>
  <si>
    <t>Glasspinne isglass, 1 st</t>
  </si>
  <si>
    <t>Glass, Skee-is, energi- och proteinrik, 1 st</t>
  </si>
  <si>
    <t>Vetelängd/ rulltårta, skiva á 2 cm</t>
  </si>
  <si>
    <t>Sylt (osötad/med sötningsmedel), msk</t>
  </si>
  <si>
    <t>Resource 2.0 med/utan fiber, 200 ml/fl</t>
  </si>
  <si>
    <t>Nutridrink Protein 2.0, 200 ml/fl</t>
  </si>
  <si>
    <t>Nutridrink Jucy, 200 ml/fl</t>
  </si>
  <si>
    <t>Frebini Energy Drink med/utan fiber, 200 ml/fl</t>
  </si>
  <si>
    <t>Fortini Smoothie, 200 ml/fl</t>
  </si>
  <si>
    <t>Resource Minimax, 200 ml/fl</t>
  </si>
  <si>
    <t>Fresubin Thickened Stage 1 eller 2, 200 ml/fl</t>
  </si>
  <si>
    <t>preOp, 200 ml/fl</t>
  </si>
  <si>
    <t>Fresubin 5 kcal shot, 120 ml/fl</t>
  </si>
  <si>
    <t>I den röda kolumnen skriver man 1 om hela portionen äts upp, 0,75 om 3/4 av portionen äts upp, 0,5 om hälften äts upp osv</t>
  </si>
  <si>
    <t>Huvudrätt VEG</t>
  </si>
  <si>
    <t>Smårätter söta</t>
  </si>
  <si>
    <t>Huvudrätt FÅGEL</t>
  </si>
  <si>
    <t>Huvudrätt NÖTKÖTT</t>
  </si>
  <si>
    <t>Smårätter salta</t>
  </si>
  <si>
    <t>Huvudrätt FLÄSK</t>
  </si>
  <si>
    <t>Huvudrätt FISK</t>
  </si>
  <si>
    <t>Ugnsomelett</t>
  </si>
  <si>
    <t>Sejfilé</t>
  </si>
  <si>
    <t>Risgrynsgröt (på 3 % mjölk)</t>
  </si>
  <si>
    <r>
      <t>Cornflakes,</t>
    </r>
    <r>
      <rPr>
        <sz val="10"/>
        <rFont val="Arial"/>
        <family val="2"/>
      </rPr>
      <t xml:space="preserve"> Havrefras</t>
    </r>
  </si>
  <si>
    <t>Nutridrink PlantBased, 200 ml/fl</t>
  </si>
  <si>
    <t>Glass, Oatly, 1 dl</t>
  </si>
  <si>
    <t>Kexchoklad, Daim, Japp, 25-30 g/bit</t>
  </si>
  <si>
    <t>Nutilis Complete Stage 1, 125 ml/fl</t>
  </si>
  <si>
    <t>Nutrical. 200 ml/fl</t>
  </si>
  <si>
    <t>Pålägg (vegopastej, hummus), per smörgås</t>
  </si>
  <si>
    <t>Alkoholfri öl, lättdryck, ProViva utan tillsatt socker</t>
  </si>
  <si>
    <t>Turkisk yoghurt (10 %)</t>
  </si>
  <si>
    <t>Margarin, 70-80 % (portionsförpackning) 10 g</t>
  </si>
  <si>
    <t>Margarin lätt, 40 % (portionsförpackning) 10 g</t>
  </si>
  <si>
    <t xml:space="preserve">Hård smörgås (knäcke, margarin, pålägg) </t>
  </si>
  <si>
    <t>Chili sin carne</t>
  </si>
  <si>
    <t>Fiskgryta</t>
  </si>
  <si>
    <t>Nötfärsbiff med gratäng</t>
  </si>
  <si>
    <t>Köttbullar med potatismos</t>
  </si>
  <si>
    <t>Kotlett med dragonsås</t>
  </si>
  <si>
    <t>Krämig grönsakssoppa</t>
  </si>
  <si>
    <t>Chokladbrownie</t>
  </si>
  <si>
    <t>Citronpannacotta</t>
  </si>
  <si>
    <t>Pasta med köttfärssås</t>
  </si>
  <si>
    <t>Kycklingsoppa</t>
  </si>
  <si>
    <t>Broccolifritters</t>
  </si>
  <si>
    <t>Kålpudding</t>
  </si>
  <si>
    <t>Örtstekt kycklingbröst</t>
  </si>
  <si>
    <t>Butterchicken med basmatiris</t>
  </si>
  <si>
    <t>Ugnsbakad kolja</t>
  </si>
  <si>
    <t>Tomat- och basilikapaj</t>
  </si>
  <si>
    <t>Rabarberkompott</t>
  </si>
  <si>
    <t>Dadelbar</t>
  </si>
  <si>
    <t>Jordgubbsmousse</t>
  </si>
  <si>
    <t>Nyponsoppa</t>
  </si>
  <si>
    <t>Liva Äppeldryck</t>
  </si>
  <si>
    <t>Keso laktosfri</t>
  </si>
  <si>
    <t>Havregurt naturell (3%)</t>
  </si>
  <si>
    <t>Brieost, skiva (ca 22g)</t>
  </si>
  <si>
    <t>Mjuksot, 1 msk</t>
  </si>
  <si>
    <t>Polarklämma, kalkon, 1 st</t>
  </si>
  <si>
    <t>Polarklämma, ost, 1 st</t>
  </si>
  <si>
    <t>Sorbet, mangopassion, 1 dl</t>
  </si>
  <si>
    <t>Sockerkaka, berikad, 1 bit</t>
  </si>
  <si>
    <t>Kanelbulle, glutenfri, 1 st</t>
  </si>
  <si>
    <t>Smörgåsrån, Saltiner, 1 st</t>
  </si>
  <si>
    <t>Chokladboll (Delicato), 1 st</t>
  </si>
  <si>
    <t xml:space="preserve">Småkaka, 1 st </t>
  </si>
  <si>
    <t>Skorpa, 1 st</t>
  </si>
  <si>
    <t>Mariekex, Wafers, majskaka, 1 st</t>
  </si>
  <si>
    <t>Digestivekex, 1 st</t>
  </si>
  <si>
    <t>Minimuffins, 1 st</t>
  </si>
  <si>
    <t>Kesella vanilj, 1 frp</t>
  </si>
  <si>
    <t>Risifrutti, Mannafrutti, 1 frp</t>
  </si>
  <si>
    <t>Vispgrädde, ovispad, 1 msk</t>
  </si>
  <si>
    <t>Vispgrädde, vispad, 1 msk</t>
  </si>
  <si>
    <t>Majonnäs, 1 msk</t>
  </si>
  <si>
    <t>Creme fraiche, 1 msk</t>
  </si>
  <si>
    <t>Olja, flytande margarin, 1 tsk</t>
  </si>
  <si>
    <t>Chokladpudding 1:2 pulver med mjölk, 1dl</t>
  </si>
  <si>
    <t>Frysta bär, 1 dl</t>
  </si>
  <si>
    <t xml:space="preserve">Tunn pannkaka, 1 st </t>
  </si>
  <si>
    <t>Varmrätt, rullande meny</t>
  </si>
  <si>
    <t>Dessert rullande meny</t>
  </si>
  <si>
    <t>Grov paté, varmrätt</t>
  </si>
  <si>
    <t>Vuxenmeny, genomsnitt</t>
  </si>
  <si>
    <t>Timbalkost, varmrätt</t>
  </si>
  <si>
    <t>Flytande kost, varmrätt</t>
  </si>
  <si>
    <t>Dessert, konsistensanpassad</t>
  </si>
  <si>
    <t>Vegankost, varmrätt</t>
  </si>
  <si>
    <t>Vegankost dessert</t>
  </si>
  <si>
    <t>Specialkoster</t>
  </si>
  <si>
    <t>Konsistensanpassad portion</t>
  </si>
  <si>
    <t>Nutridrink Compact Protein, 125 ml/fl</t>
  </si>
  <si>
    <t>Resource Activ, 200 ml/fl</t>
  </si>
  <si>
    <t>Resource Ultra, 125 ml/fl</t>
  </si>
  <si>
    <t>Nutridrink Plantbased protein 2.0, 200 ml/fl</t>
  </si>
  <si>
    <t>Nutrison Multi Fibre</t>
  </si>
  <si>
    <t>Nutrison Energy</t>
  </si>
  <si>
    <t>NutrisonEnergy Multi Fibre</t>
  </si>
  <si>
    <t>Fresubin 2 kcal HP</t>
  </si>
  <si>
    <t>Nutrison Diason Energy HP</t>
  </si>
  <si>
    <t>Fresubin Plant-based</t>
  </si>
  <si>
    <t>Peptamen HN</t>
  </si>
  <si>
    <t>Isosource Compleat</t>
  </si>
  <si>
    <t>Vätska från lunch och middag</t>
  </si>
  <si>
    <t>ml / g</t>
  </si>
  <si>
    <t xml:space="preserve"> </t>
  </si>
  <si>
    <t xml:space="preserve">  </t>
  </si>
  <si>
    <t>Dessert, flytande kost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</si>
</sst>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4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3"/>
      <name val="Arial"/>
      <family val="2"/>
    </font>
    <font>
      <sz val="16"/>
      <name val="Arial"/>
      <family val="2"/>
    </font>
    <font>
      <sz val="10"/>
      <color rgb="FFFF0000"/>
      <name val="Arial"/>
      <family val="2"/>
    </font>
    <font>
      <b/>
      <sz val="16"/>
      <name val="Arial"/>
      <family val="2"/>
    </font>
    <font>
      <b/>
      <sz val="13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A5EBE9"/>
        <bgColor indexed="64"/>
      </patternFill>
    </fill>
    <fill>
      <patternFill patternType="solid">
        <fgColor rgb="FF33D1CD"/>
        <bgColor indexed="64"/>
      </patternFill>
    </fill>
    <fill>
      <patternFill patternType="solid">
        <fgColor rgb="FFED7B6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1" fontId="0" fillId="0" borderId="0" xfId="0" applyNumberForma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2" borderId="0" xfId="0" applyFont="1" applyFill="1"/>
    <xf numFmtId="0" fontId="4" fillId="2" borderId="0" xfId="0" applyFont="1" applyFill="1"/>
    <xf numFmtId="0" fontId="0" fillId="0" borderId="3" xfId="0" applyBorder="1"/>
    <xf numFmtId="0" fontId="0" fillId="0" borderId="4" xfId="0" applyBorder="1"/>
    <xf numFmtId="0" fontId="6" fillId="3" borderId="0" xfId="0" applyFont="1" applyFill="1"/>
    <xf numFmtId="0" fontId="4" fillId="3" borderId="0" xfId="0" applyFont="1" applyFill="1"/>
    <xf numFmtId="0" fontId="6" fillId="4" borderId="0" xfId="0" applyFont="1" applyFill="1"/>
    <xf numFmtId="0" fontId="4" fillId="4" borderId="0" xfId="0" applyFont="1" applyFill="1"/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/>
    <xf numFmtId="0" fontId="11" fillId="0" borderId="0" xfId="0" applyFont="1"/>
    <xf numFmtId="0" fontId="6" fillId="3" borderId="0" xfId="0" applyFont="1" applyFill="1" applyAlignment="1">
      <alignment horizontal="right"/>
    </xf>
    <xf numFmtId="0" fontId="6" fillId="3" borderId="5" xfId="0" applyFont="1" applyFill="1" applyBorder="1"/>
    <xf numFmtId="0" fontId="6" fillId="3" borderId="6" xfId="0" applyFont="1" applyFill="1" applyBorder="1" applyAlignment="1">
      <alignment horizontal="right"/>
    </xf>
    <xf numFmtId="0" fontId="6" fillId="3" borderId="7" xfId="0" applyFont="1" applyFill="1" applyBorder="1" applyAlignment="1">
      <alignment horizontal="left"/>
    </xf>
    <xf numFmtId="0" fontId="6" fillId="3" borderId="8" xfId="0" applyFont="1" applyFill="1" applyBorder="1"/>
    <xf numFmtId="0" fontId="6" fillId="3" borderId="9" xfId="0" applyFont="1" applyFill="1" applyBorder="1" applyAlignment="1">
      <alignment horizontal="left"/>
    </xf>
    <xf numFmtId="0" fontId="11" fillId="3" borderId="10" xfId="0" applyFont="1" applyFill="1" applyBorder="1"/>
    <xf numFmtId="0" fontId="6" fillId="3" borderId="11" xfId="0" applyFont="1" applyFill="1" applyBorder="1" applyAlignment="1">
      <alignment horizontal="right"/>
    </xf>
    <xf numFmtId="0" fontId="6" fillId="3" borderId="12" xfId="0" applyFont="1" applyFill="1" applyBorder="1" applyAlignment="1">
      <alignment horizontal="left"/>
    </xf>
    <xf numFmtId="0" fontId="0" fillId="3" borderId="0" xfId="0" applyFill="1"/>
    <xf numFmtId="0" fontId="6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6" fillId="0" borderId="0" xfId="0" applyFont="1"/>
    <xf numFmtId="0" fontId="6" fillId="2" borderId="5" xfId="0" applyFont="1" applyFill="1" applyBorder="1" applyAlignment="1">
      <alignment horizontal="right"/>
    </xf>
    <xf numFmtId="1" fontId="6" fillId="2" borderId="6" xfId="0" applyNumberFormat="1" applyFont="1" applyFill="1" applyBorder="1" applyAlignment="1">
      <alignment horizontal="righ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right"/>
    </xf>
    <xf numFmtId="0" fontId="6" fillId="2" borderId="11" xfId="0" applyFont="1" applyFill="1" applyBorder="1" applyAlignment="1">
      <alignment horizontal="right"/>
    </xf>
    <xf numFmtId="0" fontId="6" fillId="2" borderId="12" xfId="0" applyFont="1" applyFill="1" applyBorder="1" applyAlignment="1">
      <alignment horizontal="left"/>
    </xf>
    <xf numFmtId="1" fontId="6" fillId="2" borderId="11" xfId="0" applyNumberFormat="1" applyFont="1" applyFill="1" applyBorder="1" applyAlignment="1">
      <alignment horizontal="right"/>
    </xf>
    <xf numFmtId="0" fontId="4" fillId="0" borderId="4" xfId="0" applyFont="1" applyBorder="1"/>
    <xf numFmtId="0" fontId="12" fillId="0" borderId="0" xfId="0" applyFont="1"/>
    <xf numFmtId="0" fontId="6" fillId="4" borderId="5" xfId="0" applyFont="1" applyFill="1" applyBorder="1" applyAlignment="1">
      <alignment horizontal="right"/>
    </xf>
    <xf numFmtId="0" fontId="6" fillId="4" borderId="8" xfId="0" applyFont="1" applyFill="1" applyBorder="1" applyAlignment="1">
      <alignment horizontal="right"/>
    </xf>
    <xf numFmtId="0" fontId="6" fillId="4" borderId="10" xfId="0" applyFont="1" applyFill="1" applyBorder="1" applyAlignment="1">
      <alignment horizontal="right"/>
    </xf>
    <xf numFmtId="0" fontId="6" fillId="4" borderId="7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6" fillId="4" borderId="12" xfId="0" applyFont="1" applyFill="1" applyBorder="1" applyAlignment="1">
      <alignment horizontal="left"/>
    </xf>
    <xf numFmtId="0" fontId="14" fillId="0" borderId="0" xfId="0" applyFont="1"/>
    <xf numFmtId="0" fontId="0" fillId="0" borderId="1" xfId="0" applyBorder="1" applyAlignment="1">
      <alignment horizontal="right"/>
    </xf>
    <xf numFmtId="0" fontId="0" fillId="2" borderId="0" xfId="0" applyFill="1"/>
    <xf numFmtId="0" fontId="0" fillId="2" borderId="6" xfId="0" applyFill="1" applyBorder="1"/>
    <xf numFmtId="0" fontId="0" fillId="2" borderId="11" xfId="0" applyFill="1" applyBorder="1"/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0" fontId="16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0" fillId="0" borderId="0" xfId="0" applyProtection="1">
      <protection locked="0"/>
    </xf>
    <xf numFmtId="0" fontId="0" fillId="5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2" fillId="5" borderId="7" xfId="0" applyFont="1" applyFill="1" applyBorder="1"/>
    <xf numFmtId="0" fontId="2" fillId="5" borderId="9" xfId="0" applyFont="1" applyFill="1" applyBorder="1"/>
    <xf numFmtId="0" fontId="2" fillId="5" borderId="12" xfId="0" applyFont="1" applyFill="1" applyBorder="1"/>
    <xf numFmtId="0" fontId="17" fillId="0" borderId="0" xfId="0" applyFont="1"/>
    <xf numFmtId="0" fontId="2" fillId="6" borderId="17" xfId="0" applyFont="1" applyFill="1" applyBorder="1"/>
    <xf numFmtId="0" fontId="2" fillId="6" borderId="1" xfId="0" applyFont="1" applyFill="1" applyBorder="1" applyAlignment="1">
      <alignment horizontal="right"/>
    </xf>
    <xf numFmtId="0" fontId="2" fillId="6" borderId="3" xfId="0" applyFont="1" applyFill="1" applyBorder="1"/>
    <xf numFmtId="0" fontId="2" fillId="7" borderId="6" xfId="0" applyFont="1" applyFill="1" applyBorder="1"/>
    <xf numFmtId="0" fontId="4" fillId="7" borderId="6" xfId="0" applyFont="1" applyFill="1" applyBorder="1"/>
    <xf numFmtId="0" fontId="2" fillId="7" borderId="7" xfId="0" applyFont="1" applyFill="1" applyBorder="1"/>
    <xf numFmtId="0" fontId="2" fillId="7" borderId="9" xfId="0" applyFont="1" applyFill="1" applyBorder="1"/>
    <xf numFmtId="0" fontId="2" fillId="7" borderId="11" xfId="0" applyFont="1" applyFill="1" applyBorder="1"/>
    <xf numFmtId="0" fontId="4" fillId="7" borderId="11" xfId="0" applyFont="1" applyFill="1" applyBorder="1"/>
    <xf numFmtId="0" fontId="2" fillId="7" borderId="12" xfId="0" applyFont="1" applyFill="1" applyBorder="1"/>
    <xf numFmtId="0" fontId="2" fillId="7" borderId="3" xfId="0" applyFont="1" applyFill="1" applyBorder="1"/>
    <xf numFmtId="0" fontId="0" fillId="7" borderId="17" xfId="0" applyFill="1" applyBorder="1"/>
    <xf numFmtId="0" fontId="2" fillId="7" borderId="3" xfId="0" applyFont="1" applyFill="1" applyBorder="1" applyAlignment="1">
      <alignment horizontal="right"/>
    </xf>
    <xf numFmtId="0" fontId="2" fillId="7" borderId="1" xfId="0" applyFont="1" applyFill="1" applyBorder="1" applyAlignment="1">
      <alignment horizontal="right"/>
    </xf>
    <xf numFmtId="0" fontId="6" fillId="8" borderId="1" xfId="0" applyFont="1" applyFill="1" applyBorder="1"/>
    <xf numFmtId="0" fontId="2" fillId="8" borderId="1" xfId="0" applyFont="1" applyFill="1" applyBorder="1" applyAlignment="1">
      <alignment horizontal="right"/>
    </xf>
    <xf numFmtId="0" fontId="2" fillId="8" borderId="17" xfId="0" applyFont="1" applyFill="1" applyBorder="1" applyAlignment="1">
      <alignment horizontal="right"/>
    </xf>
    <xf numFmtId="0" fontId="2" fillId="8" borderId="16" xfId="0" applyFont="1" applyFill="1" applyBorder="1" applyAlignment="1">
      <alignment horizontal="right"/>
    </xf>
    <xf numFmtId="0" fontId="6" fillId="8" borderId="3" xfId="0" applyFont="1" applyFill="1" applyBorder="1"/>
    <xf numFmtId="0" fontId="6" fillId="10" borderId="1" xfId="0" applyFont="1" applyFill="1" applyBorder="1"/>
    <xf numFmtId="0" fontId="6" fillId="9" borderId="1" xfId="0" applyFont="1" applyFill="1" applyBorder="1"/>
    <xf numFmtId="0" fontId="2" fillId="9" borderId="1" xfId="0" applyFont="1" applyFill="1" applyBorder="1" applyAlignment="1">
      <alignment horizontal="right"/>
    </xf>
    <xf numFmtId="0" fontId="2" fillId="6" borderId="3" xfId="0" applyFont="1" applyFill="1" applyBorder="1" applyAlignment="1">
      <alignment horizontal="right"/>
    </xf>
    <xf numFmtId="0" fontId="2" fillId="6" borderId="3" xfId="0" applyFont="1" applyFill="1" applyBorder="1" applyAlignment="1" applyProtection="1">
      <alignment horizontal="right"/>
      <protection locked="0"/>
    </xf>
    <xf numFmtId="0" fontId="2" fillId="6" borderId="16" xfId="0" applyFont="1" applyFill="1" applyBorder="1" applyAlignment="1" applyProtection="1">
      <alignment horizontal="right"/>
      <protection locked="0"/>
    </xf>
    <xf numFmtId="0" fontId="10" fillId="11" borderId="8" xfId="0" applyFont="1" applyFill="1" applyBorder="1"/>
    <xf numFmtId="0" fontId="10" fillId="0" borderId="0" xfId="0" applyFont="1" applyAlignment="1">
      <alignment horizontal="right"/>
    </xf>
    <xf numFmtId="0" fontId="10" fillId="0" borderId="0" xfId="0" applyFont="1"/>
    <xf numFmtId="0" fontId="18" fillId="12" borderId="8" xfId="0" applyFont="1" applyFill="1" applyBorder="1" applyAlignment="1">
      <alignment horizontal="right" vertical="center"/>
    </xf>
    <xf numFmtId="0" fontId="0" fillId="0" borderId="6" xfId="0" applyBorder="1"/>
    <xf numFmtId="0" fontId="18" fillId="12" borderId="0" xfId="0" applyFont="1" applyFill="1" applyAlignment="1">
      <alignment horizontal="right" vertical="center"/>
    </xf>
    <xf numFmtId="1" fontId="18" fillId="12" borderId="0" xfId="0" applyNumberFormat="1" applyFont="1" applyFill="1" applyAlignment="1">
      <alignment horizontal="left" vertical="center"/>
    </xf>
    <xf numFmtId="1" fontId="18" fillId="12" borderId="0" xfId="0" applyNumberFormat="1" applyFont="1" applyFill="1" applyAlignment="1">
      <alignment horizontal="right" vertical="center"/>
    </xf>
    <xf numFmtId="0" fontId="18" fillId="12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10" fillId="11" borderId="18" xfId="0" applyFont="1" applyFill="1" applyBorder="1" applyAlignment="1">
      <alignment horizontal="right"/>
    </xf>
    <xf numFmtId="1" fontId="18" fillId="12" borderId="12" xfId="0" applyNumberFormat="1" applyFont="1" applyFill="1" applyBorder="1" applyAlignment="1">
      <alignment horizontal="left" vertical="center"/>
    </xf>
    <xf numFmtId="0" fontId="18" fillId="11" borderId="13" xfId="0" applyFont="1" applyFill="1" applyBorder="1" applyAlignment="1">
      <alignment horizontal="right"/>
    </xf>
    <xf numFmtId="0" fontId="19" fillId="11" borderId="8" xfId="0" applyFont="1" applyFill="1" applyBorder="1" applyAlignment="1">
      <alignment horizontal="right"/>
    </xf>
    <xf numFmtId="1" fontId="19" fillId="11" borderId="0" xfId="0" applyNumberFormat="1" applyFont="1" applyFill="1" applyAlignment="1">
      <alignment horizontal="center"/>
    </xf>
    <xf numFmtId="0" fontId="19" fillId="11" borderId="0" xfId="0" applyFont="1" applyFill="1" applyAlignment="1">
      <alignment horizontal="right"/>
    </xf>
    <xf numFmtId="0" fontId="19" fillId="11" borderId="0" xfId="0" applyFont="1" applyFill="1" applyAlignment="1">
      <alignment horizontal="center"/>
    </xf>
    <xf numFmtId="1" fontId="19" fillId="11" borderId="0" xfId="0" applyNumberFormat="1" applyFont="1" applyFill="1" applyAlignment="1">
      <alignment horizontal="right"/>
    </xf>
    <xf numFmtId="1" fontId="19" fillId="11" borderId="19" xfId="0" applyNumberFormat="1" applyFont="1" applyFill="1" applyBorder="1" applyAlignment="1">
      <alignment horizontal="center"/>
    </xf>
    <xf numFmtId="0" fontId="19" fillId="11" borderId="9" xfId="0" applyFont="1" applyFill="1" applyBorder="1" applyAlignment="1">
      <alignment horizontal="center"/>
    </xf>
    <xf numFmtId="1" fontId="19" fillId="11" borderId="9" xfId="0" applyNumberFormat="1" applyFont="1" applyFill="1" applyBorder="1" applyAlignment="1">
      <alignment horizontal="center"/>
    </xf>
    <xf numFmtId="0" fontId="19" fillId="11" borderId="8" xfId="0" applyFont="1" applyFill="1" applyBorder="1"/>
    <xf numFmtId="0" fontId="19" fillId="11" borderId="0" xfId="0" applyFont="1" applyFill="1"/>
    <xf numFmtId="0" fontId="19" fillId="11" borderId="9" xfId="0" applyFont="1" applyFill="1" applyBorder="1"/>
    <xf numFmtId="1" fontId="19" fillId="11" borderId="20" xfId="0" applyNumberFormat="1" applyFont="1" applyFill="1" applyBorder="1" applyAlignment="1">
      <alignment horizontal="right"/>
    </xf>
    <xf numFmtId="0" fontId="19" fillId="11" borderId="14" xfId="0" applyFont="1" applyFill="1" applyBorder="1" applyAlignment="1">
      <alignment horizontal="right"/>
    </xf>
    <xf numFmtId="1" fontId="19" fillId="11" borderId="14" xfId="0" applyNumberFormat="1" applyFont="1" applyFill="1" applyBorder="1" applyAlignment="1">
      <alignment horizontal="right"/>
    </xf>
    <xf numFmtId="1" fontId="18" fillId="12" borderId="11" xfId="0" applyNumberFormat="1" applyFont="1" applyFill="1" applyBorder="1" applyAlignment="1">
      <alignment horizontal="right" vertical="center"/>
    </xf>
    <xf numFmtId="0" fontId="6" fillId="4" borderId="6" xfId="0" applyFont="1" applyFill="1" applyBorder="1" applyAlignment="1">
      <alignment horizontal="right"/>
    </xf>
    <xf numFmtId="0" fontId="6" fillId="4" borderId="0" xfId="0" applyFont="1" applyFill="1" applyAlignment="1">
      <alignment horizontal="right"/>
    </xf>
    <xf numFmtId="0" fontId="6" fillId="4" borderId="11" xfId="0" applyFont="1" applyFill="1" applyBorder="1" applyAlignment="1">
      <alignment horizontal="right"/>
    </xf>
    <xf numFmtId="0" fontId="0" fillId="8" borderId="6" xfId="0" applyFill="1" applyBorder="1"/>
    <xf numFmtId="0" fontId="0" fillId="8" borderId="0" xfId="0" applyFill="1"/>
    <xf numFmtId="0" fontId="1" fillId="8" borderId="11" xfId="0" applyFont="1" applyFill="1" applyBorder="1"/>
    <xf numFmtId="0" fontId="2" fillId="5" borderId="6" xfId="0" applyFont="1" applyFill="1" applyBorder="1"/>
    <xf numFmtId="0" fontId="2" fillId="5" borderId="0" xfId="0" applyFont="1" applyFill="1"/>
    <xf numFmtId="0" fontId="2" fillId="5" borderId="11" xfId="0" applyFont="1" applyFill="1" applyBorder="1"/>
    <xf numFmtId="0" fontId="0" fillId="7" borderId="1" xfId="0" applyFill="1" applyBorder="1" applyProtection="1">
      <protection locked="0"/>
    </xf>
    <xf numFmtId="0" fontId="0" fillId="9" borderId="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10" borderId="1" xfId="0" applyNumberFormat="1" applyFill="1" applyBorder="1" applyProtection="1">
      <protection locked="0"/>
    </xf>
    <xf numFmtId="0" fontId="0" fillId="7" borderId="1" xfId="0" applyFill="1" applyBorder="1"/>
    <xf numFmtId="0" fontId="1" fillId="8" borderId="1" xfId="0" applyFont="1" applyFill="1" applyBorder="1" applyProtection="1">
      <protection locked="0"/>
    </xf>
    <xf numFmtId="0" fontId="1" fillId="8" borderId="4" xfId="0" applyFont="1" applyFill="1" applyBorder="1" applyProtection="1">
      <protection locked="0"/>
    </xf>
    <xf numFmtId="0" fontId="0" fillId="8" borderId="1" xfId="0" applyFill="1" applyBorder="1" applyProtection="1">
      <protection locked="0"/>
    </xf>
    <xf numFmtId="0" fontId="1" fillId="0" borderId="1" xfId="0" applyFont="1" applyBorder="1" applyAlignment="1">
      <alignment horizontal="right"/>
    </xf>
    <xf numFmtId="0" fontId="0" fillId="7" borderId="0" xfId="0" applyFill="1" applyProtection="1">
      <protection locked="0"/>
    </xf>
    <xf numFmtId="0" fontId="2" fillId="8" borderId="17" xfId="0" applyFont="1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0" fontId="0" fillId="6" borderId="1" xfId="0" applyFill="1" applyBorder="1" applyProtection="1">
      <protection locked="0"/>
    </xf>
    <xf numFmtId="0" fontId="1" fillId="0" borderId="4" xfId="0" applyFont="1" applyBorder="1"/>
    <xf numFmtId="0" fontId="6" fillId="13" borderId="0" xfId="0" applyFont="1" applyFill="1"/>
    <xf numFmtId="0" fontId="0" fillId="13" borderId="0" xfId="0" applyFill="1"/>
    <xf numFmtId="0" fontId="2" fillId="13" borderId="3" xfId="0" applyFont="1" applyFill="1" applyBorder="1"/>
    <xf numFmtId="0" fontId="0" fillId="13" borderId="17" xfId="0" applyFill="1" applyBorder="1"/>
    <xf numFmtId="0" fontId="2" fillId="13" borderId="3" xfId="0" applyFont="1" applyFill="1" applyBorder="1" applyAlignment="1">
      <alignment horizontal="right"/>
    </xf>
    <xf numFmtId="0" fontId="2" fillId="13" borderId="1" xfId="0" applyFont="1" applyFill="1" applyBorder="1" applyAlignment="1">
      <alignment horizontal="right"/>
    </xf>
    <xf numFmtId="0" fontId="2" fillId="13" borderId="17" xfId="0" applyFont="1" applyFill="1" applyBorder="1"/>
    <xf numFmtId="0" fontId="2" fillId="13" borderId="0" xfId="0" applyFont="1" applyFill="1" applyAlignment="1">
      <alignment horizontal="right"/>
    </xf>
    <xf numFmtId="0" fontId="0" fillId="13" borderId="1" xfId="0" applyFill="1" applyBorder="1" applyProtection="1">
      <protection locked="0"/>
    </xf>
    <xf numFmtId="0" fontId="0" fillId="13" borderId="1" xfId="0" applyFill="1" applyBorder="1"/>
    <xf numFmtId="0" fontId="2" fillId="13" borderId="1" xfId="0" applyFont="1" applyFill="1" applyBorder="1"/>
    <xf numFmtId="0" fontId="2" fillId="13" borderId="6" xfId="0" applyFont="1" applyFill="1" applyBorder="1"/>
    <xf numFmtId="0" fontId="2" fillId="13" borderId="7" xfId="0" applyFont="1" applyFill="1" applyBorder="1"/>
    <xf numFmtId="0" fontId="2" fillId="13" borderId="0" xfId="0" applyFont="1" applyFill="1"/>
    <xf numFmtId="0" fontId="2" fillId="13" borderId="9" xfId="0" applyFont="1" applyFill="1" applyBorder="1"/>
    <xf numFmtId="0" fontId="2" fillId="13" borderId="11" xfId="0" applyFont="1" applyFill="1" applyBorder="1"/>
    <xf numFmtId="0" fontId="2" fillId="13" borderId="12" xfId="0" applyFont="1" applyFill="1" applyBorder="1"/>
    <xf numFmtId="0" fontId="1" fillId="0" borderId="3" xfId="0" applyFont="1" applyBorder="1"/>
    <xf numFmtId="0" fontId="0" fillId="7" borderId="2" xfId="0" applyFill="1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2" fillId="7" borderId="0" xfId="0" applyFont="1" applyFill="1" applyBorder="1"/>
    <xf numFmtId="0" fontId="4" fillId="7" borderId="0" xfId="0" applyFont="1" applyFill="1" applyBorder="1"/>
    <xf numFmtId="0" fontId="2" fillId="7" borderId="5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2" fillId="10" borderId="1" xfId="0" applyFont="1" applyFill="1" applyBorder="1" applyAlignment="1">
      <alignment horizontal="center"/>
    </xf>
    <xf numFmtId="0" fontId="6" fillId="5" borderId="0" xfId="0" applyFont="1" applyFill="1" applyAlignment="1">
      <alignment horizontal="left"/>
    </xf>
    <xf numFmtId="0" fontId="6" fillId="7" borderId="14" xfId="0" applyFont="1" applyFill="1" applyBorder="1" applyAlignment="1">
      <alignment horizontal="center" wrapText="1"/>
    </xf>
    <xf numFmtId="0" fontId="6" fillId="7" borderId="0" xfId="0" applyFont="1" applyFill="1" applyBorder="1" applyAlignment="1">
      <alignment horizontal="center" wrapText="1"/>
    </xf>
    <xf numFmtId="0" fontId="6" fillId="7" borderId="0" xfId="0" applyFont="1" applyFill="1" applyAlignment="1">
      <alignment horizontal="center" vertical="center"/>
    </xf>
    <xf numFmtId="0" fontId="2" fillId="13" borderId="5" xfId="0" applyFont="1" applyFill="1" applyBorder="1" applyAlignment="1">
      <alignment horizontal="left"/>
    </xf>
    <xf numFmtId="0" fontId="2" fillId="13" borderId="6" xfId="0" applyFont="1" applyFill="1" applyBorder="1" applyAlignment="1">
      <alignment horizontal="left"/>
    </xf>
    <xf numFmtId="0" fontId="2" fillId="13" borderId="8" xfId="0" applyFont="1" applyFill="1" applyBorder="1" applyAlignment="1">
      <alignment horizontal="left"/>
    </xf>
    <xf numFmtId="0" fontId="2" fillId="13" borderId="0" xfId="0" applyFont="1" applyFill="1" applyBorder="1" applyAlignment="1">
      <alignment horizontal="left"/>
    </xf>
    <xf numFmtId="0" fontId="2" fillId="13" borderId="10" xfId="0" applyFont="1" applyFill="1" applyBorder="1" applyAlignment="1">
      <alignment horizontal="left"/>
    </xf>
    <xf numFmtId="0" fontId="2" fillId="13" borderId="11" xfId="0" applyFont="1" applyFill="1" applyBorder="1" applyAlignment="1">
      <alignment horizontal="left"/>
    </xf>
    <xf numFmtId="0" fontId="6" fillId="13" borderId="14" xfId="0" applyFont="1" applyFill="1" applyBorder="1" applyAlignment="1">
      <alignment horizontal="left" vertical="center" wrapText="1"/>
    </xf>
    <xf numFmtId="0" fontId="6" fillId="13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3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5F51"/>
      <color rgb="FFFFCC99"/>
      <color rgb="FF99CCFF"/>
      <color rgb="FFCCFF99"/>
      <color rgb="FFFFFFFF"/>
      <color rgb="FF33D1CD"/>
      <color rgb="FFA5EBE9"/>
      <color rgb="FFFFFF99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A1:Q52"/>
  <sheetViews>
    <sheetView topLeftCell="A2" zoomScaleNormal="100" zoomScaleSheetLayoutView="75" workbookViewId="0">
      <selection activeCell="Q2" sqref="Q1:Q1048576"/>
    </sheetView>
  </sheetViews>
  <sheetFormatPr defaultColWidth="9.08984375" defaultRowHeight="12.5" x14ac:dyDescent="0.25"/>
  <cols>
    <col min="1" max="1" width="41.90625" style="63" customWidth="1"/>
    <col min="2" max="2" width="5.453125" style="63" customWidth="1"/>
    <col min="3" max="3" width="7.6328125" style="63" customWidth="1"/>
    <col min="4" max="4" width="8.6328125" style="63" bestFit="1" customWidth="1"/>
    <col min="5" max="5" width="6.6328125" style="63" hidden="1" customWidth="1"/>
    <col min="6" max="6" width="2.453125" style="63" customWidth="1"/>
    <col min="7" max="7" width="37.453125" style="63" customWidth="1"/>
    <col min="8" max="8" width="5.453125" style="63" customWidth="1"/>
    <col min="9" max="9" width="7.6328125" style="63" customWidth="1"/>
    <col min="10" max="10" width="6.54296875" style="63" customWidth="1"/>
    <col min="11" max="11" width="6.6328125" style="63" hidden="1" customWidth="1"/>
    <col min="12" max="12" width="2.453125" style="63" customWidth="1"/>
    <col min="13" max="13" width="40" style="63" customWidth="1"/>
    <col min="14" max="14" width="6.36328125" style="63" bestFit="1" customWidth="1"/>
    <col min="15" max="15" width="7.54296875" style="63" customWidth="1"/>
    <col min="16" max="16" width="6.6328125" style="63" customWidth="1"/>
    <col min="17" max="17" width="8.453125" style="63" hidden="1" customWidth="1"/>
    <col min="18" max="18" width="2" style="63" bestFit="1" customWidth="1"/>
    <col min="19" max="19" width="6.54296875" style="63" customWidth="1"/>
    <col min="20" max="20" width="7.90625" style="63" customWidth="1"/>
    <col min="21" max="21" width="8.36328125" style="63" customWidth="1"/>
    <col min="22" max="22" width="9.08984375" style="63"/>
    <col min="23" max="23" width="6.453125" style="63" customWidth="1"/>
    <col min="24" max="16384" width="9.08984375" style="63"/>
  </cols>
  <sheetData>
    <row r="1" spans="1:17" s="61" customFormat="1" ht="15.75" customHeight="1" x14ac:dyDescent="0.4">
      <c r="A1" s="187" t="s">
        <v>10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</row>
    <row r="2" spans="1:17" s="62" customFormat="1" ht="27.65" customHeight="1" x14ac:dyDescent="0.35">
      <c r="A2" s="187" t="s">
        <v>60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7" s="62" customFormat="1" ht="14.25" customHeight="1" x14ac:dyDescent="0.35"/>
    <row r="4" spans="1:17" s="169" customFormat="1" ht="14.25" customHeight="1" x14ac:dyDescent="0.25">
      <c r="C4" s="169" t="s">
        <v>109</v>
      </c>
      <c r="D4" s="169" t="s">
        <v>110</v>
      </c>
      <c r="E4" s="169" t="s">
        <v>111</v>
      </c>
      <c r="I4" s="169" t="s">
        <v>109</v>
      </c>
      <c r="J4" s="169" t="s">
        <v>110</v>
      </c>
      <c r="K4" s="169" t="s">
        <v>111</v>
      </c>
      <c r="O4" s="169" t="s">
        <v>109</v>
      </c>
      <c r="P4" s="169" t="s">
        <v>110</v>
      </c>
      <c r="Q4" s="169" t="s">
        <v>64</v>
      </c>
    </row>
    <row r="5" spans="1:17" ht="13" x14ac:dyDescent="0.3">
      <c r="A5" s="71" t="s">
        <v>151</v>
      </c>
      <c r="B5" s="72" t="s">
        <v>2</v>
      </c>
      <c r="C5" s="72" t="s">
        <v>23</v>
      </c>
      <c r="D5" s="72" t="s">
        <v>44</v>
      </c>
      <c r="E5" s="72" t="s">
        <v>2</v>
      </c>
      <c r="G5" s="73" t="s">
        <v>140</v>
      </c>
      <c r="H5" s="72" t="s">
        <v>56</v>
      </c>
      <c r="I5" s="72" t="s">
        <v>23</v>
      </c>
      <c r="J5" s="72" t="s">
        <v>44</v>
      </c>
      <c r="K5" s="72" t="s">
        <v>2</v>
      </c>
      <c r="M5" s="73" t="s">
        <v>9</v>
      </c>
      <c r="N5" s="93" t="s">
        <v>56</v>
      </c>
      <c r="O5" s="94" t="s">
        <v>23</v>
      </c>
      <c r="P5" s="95" t="s">
        <v>44</v>
      </c>
      <c r="Q5" s="72" t="s">
        <v>2</v>
      </c>
    </row>
    <row r="6" spans="1:17" ht="12.75" customHeight="1" x14ac:dyDescent="0.25">
      <c r="A6" s="6" t="s">
        <v>154</v>
      </c>
      <c r="B6" s="64"/>
      <c r="C6" s="2">
        <f>B6*0.4</f>
        <v>0</v>
      </c>
      <c r="D6" s="2">
        <v>0</v>
      </c>
      <c r="E6" s="170">
        <f>B6*1</f>
        <v>0</v>
      </c>
      <c r="G6" s="6" t="s">
        <v>142</v>
      </c>
      <c r="H6" s="64"/>
      <c r="I6" s="2">
        <f>H6*80</f>
        <v>0</v>
      </c>
      <c r="J6" s="2">
        <v>0</v>
      </c>
      <c r="K6" s="170"/>
      <c r="M6" s="6" t="s">
        <v>121</v>
      </c>
      <c r="N6" s="64"/>
      <c r="O6" s="13">
        <f>N6*630</f>
        <v>0</v>
      </c>
      <c r="P6" s="13">
        <f>N6*23</f>
        <v>0</v>
      </c>
      <c r="Q6" s="170"/>
    </row>
    <row r="7" spans="1:17" x14ac:dyDescent="0.25">
      <c r="A7" s="6" t="s">
        <v>188</v>
      </c>
      <c r="B7" s="64"/>
      <c r="C7" s="2">
        <f>B7*0.2</f>
        <v>0</v>
      </c>
      <c r="D7" s="2">
        <v>0</v>
      </c>
      <c r="E7" s="170">
        <f>B7*0.95</f>
        <v>0</v>
      </c>
      <c r="G7" s="6" t="s">
        <v>231</v>
      </c>
      <c r="H7" s="64"/>
      <c r="I7" s="2">
        <f>H7*210</f>
        <v>0</v>
      </c>
      <c r="J7" s="2">
        <f>H7*5</f>
        <v>0</v>
      </c>
      <c r="K7" s="170"/>
      <c r="M7" s="4" t="s">
        <v>80</v>
      </c>
      <c r="N7" s="64"/>
      <c r="O7" s="2">
        <f>N7*540</f>
        <v>0</v>
      </c>
      <c r="P7" s="2">
        <f>N7*22</f>
        <v>0</v>
      </c>
      <c r="Q7" s="170"/>
    </row>
    <row r="8" spans="1:17" x14ac:dyDescent="0.25">
      <c r="A8" s="6" t="s">
        <v>129</v>
      </c>
      <c r="B8" s="64"/>
      <c r="C8" s="6">
        <f>B8*0.5</f>
        <v>0</v>
      </c>
      <c r="D8" s="2">
        <f>B8*0.02</f>
        <v>0</v>
      </c>
      <c r="E8" s="170">
        <f>B8*0.95</f>
        <v>0</v>
      </c>
      <c r="F8" s="66"/>
      <c r="G8" s="6" t="s">
        <v>152</v>
      </c>
      <c r="H8" s="64"/>
      <c r="I8" s="2">
        <f>H8*115</f>
        <v>0</v>
      </c>
      <c r="J8" s="2">
        <f>H8*6</f>
        <v>0</v>
      </c>
      <c r="K8" s="170"/>
      <c r="M8" s="2" t="s">
        <v>239</v>
      </c>
      <c r="N8" s="64"/>
      <c r="O8" s="2">
        <f>N8*60</f>
        <v>0</v>
      </c>
      <c r="P8" s="2">
        <f>N8*2</f>
        <v>0</v>
      </c>
      <c r="Q8" s="170"/>
    </row>
    <row r="9" spans="1:17" x14ac:dyDescent="0.25">
      <c r="A9" s="6" t="s">
        <v>213</v>
      </c>
      <c r="B9" s="64"/>
      <c r="C9" s="2">
        <f>B9*1</f>
        <v>0</v>
      </c>
      <c r="D9" s="2">
        <f>B9*0</f>
        <v>0</v>
      </c>
      <c r="E9" s="170">
        <f>B9*0.95</f>
        <v>0</v>
      </c>
      <c r="F9" s="66"/>
      <c r="G9" s="6" t="s">
        <v>156</v>
      </c>
      <c r="H9" s="64"/>
      <c r="I9" s="2">
        <f>H9*140</f>
        <v>0</v>
      </c>
      <c r="J9" s="2">
        <f>H9*5</f>
        <v>0</v>
      </c>
      <c r="K9" s="170"/>
      <c r="M9" s="6" t="s">
        <v>144</v>
      </c>
      <c r="N9" s="64"/>
      <c r="O9" s="2">
        <f>N9*60</f>
        <v>0</v>
      </c>
      <c r="P9" s="2">
        <f>N9*2</f>
        <v>0</v>
      </c>
      <c r="Q9" s="170">
        <f>SUM(N9*90)</f>
        <v>0</v>
      </c>
    </row>
    <row r="10" spans="1:17" x14ac:dyDescent="0.25">
      <c r="A10" s="6" t="s">
        <v>212</v>
      </c>
      <c r="B10" s="64"/>
      <c r="C10" s="2">
        <f>B10*0.5</f>
        <v>0</v>
      </c>
      <c r="D10" s="2">
        <f>B10*0</f>
        <v>0</v>
      </c>
      <c r="E10" s="170">
        <f>B9*0.8</f>
        <v>0</v>
      </c>
      <c r="G10" s="6" t="s">
        <v>237</v>
      </c>
      <c r="H10" s="64"/>
      <c r="I10" s="2">
        <f>H10*140</f>
        <v>0</v>
      </c>
      <c r="J10" s="2">
        <f>H10*4</f>
        <v>0</v>
      </c>
      <c r="K10" s="170"/>
    </row>
    <row r="11" spans="1:17" ht="13" x14ac:dyDescent="0.3">
      <c r="A11" s="6" t="s">
        <v>130</v>
      </c>
      <c r="B11" s="64"/>
      <c r="C11" s="2">
        <v>0</v>
      </c>
      <c r="D11" s="2">
        <v>0</v>
      </c>
      <c r="E11" s="170">
        <f>B11*1</f>
        <v>0</v>
      </c>
      <c r="F11" s="66"/>
      <c r="G11" s="6" t="s">
        <v>113</v>
      </c>
      <c r="H11" s="64"/>
      <c r="I11" s="2">
        <f>H11*130</f>
        <v>0</v>
      </c>
      <c r="J11" s="2">
        <f>H11*2</f>
        <v>0</v>
      </c>
      <c r="K11" s="170"/>
      <c r="M11" s="73" t="s">
        <v>8</v>
      </c>
      <c r="N11" s="93" t="s">
        <v>56</v>
      </c>
      <c r="O11" s="94" t="s">
        <v>23</v>
      </c>
      <c r="P11" s="95" t="s">
        <v>44</v>
      </c>
      <c r="Q11" s="72" t="s">
        <v>2</v>
      </c>
    </row>
    <row r="12" spans="1:17" x14ac:dyDescent="0.25">
      <c r="E12" s="65"/>
      <c r="G12" s="6" t="s">
        <v>141</v>
      </c>
      <c r="H12" s="64"/>
      <c r="I12" s="2">
        <f>H12*110</f>
        <v>0</v>
      </c>
      <c r="J12" s="2">
        <f>H12*2</f>
        <v>0</v>
      </c>
      <c r="K12" s="170"/>
      <c r="M12" s="6" t="s">
        <v>85</v>
      </c>
      <c r="N12" s="64"/>
      <c r="O12" s="13">
        <f>N12*30</f>
        <v>0</v>
      </c>
      <c r="P12" s="13">
        <v>0</v>
      </c>
      <c r="Q12" s="170"/>
    </row>
    <row r="13" spans="1:17" ht="13" x14ac:dyDescent="0.3">
      <c r="A13" s="71" t="s">
        <v>55</v>
      </c>
      <c r="B13" s="93" t="s">
        <v>2</v>
      </c>
      <c r="C13" s="94" t="s">
        <v>23</v>
      </c>
      <c r="D13" s="95" t="s">
        <v>44</v>
      </c>
      <c r="E13" s="72" t="s">
        <v>2</v>
      </c>
      <c r="G13" s="6" t="s">
        <v>183</v>
      </c>
      <c r="H13" s="64"/>
      <c r="I13" s="2">
        <f>H13*130</f>
        <v>0</v>
      </c>
      <c r="J13" s="2">
        <f>H13*0</f>
        <v>0</v>
      </c>
      <c r="K13" s="170"/>
      <c r="M13" s="6" t="s">
        <v>160</v>
      </c>
      <c r="N13" s="64"/>
      <c r="O13" s="2">
        <f>N13*7</f>
        <v>0</v>
      </c>
      <c r="P13" s="2">
        <v>0</v>
      </c>
      <c r="Q13" s="170"/>
    </row>
    <row r="14" spans="1:17" x14ac:dyDescent="0.25">
      <c r="A14" s="6" t="s">
        <v>131</v>
      </c>
      <c r="B14" s="64"/>
      <c r="C14" s="13">
        <f>B14*0.6</f>
        <v>0</v>
      </c>
      <c r="D14" s="13">
        <f>B14*0.03</f>
        <v>0</v>
      </c>
      <c r="E14" s="170">
        <f>B14*0.9</f>
        <v>0</v>
      </c>
      <c r="G14" s="6" t="s">
        <v>157</v>
      </c>
      <c r="H14" s="64"/>
      <c r="I14" s="2">
        <f>H14*50</f>
        <v>0</v>
      </c>
      <c r="J14" s="2">
        <v>0</v>
      </c>
      <c r="K14" s="170"/>
      <c r="M14" s="6" t="s">
        <v>232</v>
      </c>
      <c r="N14" s="64"/>
      <c r="O14" s="2">
        <f>N14*60</f>
        <v>0</v>
      </c>
      <c r="P14" s="2">
        <v>0</v>
      </c>
      <c r="Q14" s="170"/>
    </row>
    <row r="15" spans="1:17" x14ac:dyDescent="0.25">
      <c r="A15" s="6" t="s">
        <v>132</v>
      </c>
      <c r="B15" s="64"/>
      <c r="C15" s="2">
        <f>B15*0.5</f>
        <v>0</v>
      </c>
      <c r="D15" s="2">
        <f>B15*0.03</f>
        <v>0</v>
      </c>
      <c r="E15" s="170">
        <f>B15*0.9</f>
        <v>0</v>
      </c>
      <c r="G15" s="6" t="s">
        <v>220</v>
      </c>
      <c r="H15" s="64"/>
      <c r="I15" s="2">
        <f>H15*140</f>
        <v>0</v>
      </c>
      <c r="J15" s="2">
        <v>0</v>
      </c>
      <c r="K15" s="170"/>
      <c r="M15" s="6" t="s">
        <v>233</v>
      </c>
      <c r="N15" s="64"/>
      <c r="O15" s="2">
        <f>N15*30</f>
        <v>0</v>
      </c>
      <c r="P15" s="2">
        <v>0</v>
      </c>
      <c r="Q15" s="170"/>
    </row>
    <row r="16" spans="1:17" x14ac:dyDescent="0.25">
      <c r="A16" s="6" t="s">
        <v>133</v>
      </c>
      <c r="B16" s="64"/>
      <c r="C16" s="2">
        <f>B16*0.4</f>
        <v>0</v>
      </c>
      <c r="D16" s="2">
        <f>B16*0.03</f>
        <v>0</v>
      </c>
      <c r="E16" s="170">
        <f>B16*0.9</f>
        <v>0</v>
      </c>
      <c r="G16" s="6" t="s">
        <v>158</v>
      </c>
      <c r="H16" s="64"/>
      <c r="I16" s="2">
        <f>H16*220</f>
        <v>0</v>
      </c>
      <c r="J16" s="2">
        <f>H16*6</f>
        <v>0</v>
      </c>
      <c r="K16" s="170"/>
      <c r="M16" s="2" t="s">
        <v>82</v>
      </c>
      <c r="N16" s="64"/>
      <c r="O16" s="2">
        <f>N16*10</f>
        <v>0</v>
      </c>
      <c r="P16" s="2">
        <v>0</v>
      </c>
      <c r="Q16" s="170"/>
    </row>
    <row r="17" spans="1:17" x14ac:dyDescent="0.25">
      <c r="A17" s="2" t="s">
        <v>54</v>
      </c>
      <c r="B17" s="64"/>
      <c r="C17" s="2">
        <f>B17*0.8</f>
        <v>0</v>
      </c>
      <c r="D17" s="2">
        <f>B17*0.04</f>
        <v>0</v>
      </c>
      <c r="E17" s="170">
        <f t="shared" ref="E17:E23" si="0">B17*0.9</f>
        <v>0</v>
      </c>
      <c r="F17" s="66"/>
      <c r="G17" s="6" t="s">
        <v>238</v>
      </c>
      <c r="H17" s="64"/>
      <c r="I17" s="2">
        <f>H17*30</f>
        <v>0</v>
      </c>
      <c r="J17" s="2">
        <v>0</v>
      </c>
      <c r="K17" s="170"/>
      <c r="M17" s="2" t="s">
        <v>83</v>
      </c>
      <c r="N17" s="64"/>
      <c r="O17" s="2">
        <f>N17*50</f>
        <v>0</v>
      </c>
      <c r="P17" s="2">
        <v>0</v>
      </c>
      <c r="Q17" s="170"/>
    </row>
    <row r="18" spans="1:17" x14ac:dyDescent="0.25">
      <c r="A18" s="2" t="s">
        <v>214</v>
      </c>
      <c r="B18" s="64"/>
      <c r="C18" s="2">
        <f>B18*0.9</f>
        <v>0</v>
      </c>
      <c r="D18" s="2">
        <f>B18*0.13</f>
        <v>0</v>
      </c>
      <c r="E18" s="170"/>
      <c r="G18" s="2" t="s">
        <v>81</v>
      </c>
      <c r="H18" s="64"/>
      <c r="I18" s="2">
        <f>H18*100</f>
        <v>0</v>
      </c>
      <c r="J18" s="2">
        <f>H18*1</f>
        <v>0</v>
      </c>
      <c r="K18" s="170"/>
      <c r="M18" s="2" t="s">
        <v>84</v>
      </c>
      <c r="N18" s="64"/>
      <c r="O18" s="2">
        <f>N18*20</f>
        <v>0</v>
      </c>
      <c r="P18" s="2">
        <v>0</v>
      </c>
      <c r="Q18" s="170"/>
    </row>
    <row r="19" spans="1:17" x14ac:dyDescent="0.25">
      <c r="A19" s="6" t="s">
        <v>189</v>
      </c>
      <c r="B19" s="64"/>
      <c r="C19" s="2">
        <f>B19*1.2</f>
        <v>0</v>
      </c>
      <c r="D19" s="2">
        <f>B19*0.04</f>
        <v>0</v>
      </c>
      <c r="E19" s="170">
        <f t="shared" si="0"/>
        <v>0</v>
      </c>
      <c r="G19" s="6" t="s">
        <v>143</v>
      </c>
      <c r="H19" s="64"/>
      <c r="I19" s="2">
        <f>H19*60</f>
        <v>0</v>
      </c>
      <c r="J19" s="2">
        <f>H19*1</f>
        <v>0</v>
      </c>
      <c r="K19" s="170"/>
      <c r="M19" s="6" t="s">
        <v>146</v>
      </c>
      <c r="N19" s="64"/>
      <c r="O19" s="2">
        <f>N19*80</f>
        <v>0</v>
      </c>
      <c r="P19" s="2">
        <v>0</v>
      </c>
      <c r="Q19" s="170"/>
    </row>
    <row r="20" spans="1:17" x14ac:dyDescent="0.25">
      <c r="A20" s="6" t="s">
        <v>215</v>
      </c>
      <c r="B20" s="64"/>
      <c r="C20" s="2">
        <f>B20*0.8</f>
        <v>0</v>
      </c>
      <c r="D20" s="2">
        <f>B20*0.01</f>
        <v>0</v>
      </c>
      <c r="E20" s="170">
        <f t="shared" si="0"/>
        <v>0</v>
      </c>
      <c r="G20" s="6" t="s">
        <v>230</v>
      </c>
      <c r="H20" s="64"/>
      <c r="I20" s="2">
        <f>H20*375</f>
        <v>0</v>
      </c>
      <c r="J20" s="2">
        <f>H20*18</f>
        <v>0</v>
      </c>
      <c r="K20" s="170"/>
      <c r="M20" s="6" t="s">
        <v>234</v>
      </c>
      <c r="N20" s="64"/>
      <c r="O20" s="2">
        <f>N20*95</f>
        <v>0</v>
      </c>
      <c r="P20" s="2">
        <v>0</v>
      </c>
      <c r="Q20" s="170"/>
    </row>
    <row r="21" spans="1:17" x14ac:dyDescent="0.25">
      <c r="A21" s="6" t="s">
        <v>125</v>
      </c>
      <c r="B21" s="64"/>
      <c r="C21" s="2">
        <f>B21*0.5</f>
        <v>0</v>
      </c>
      <c r="D21" s="2">
        <f>B21*0.01</f>
        <v>0</v>
      </c>
      <c r="E21" s="170">
        <f t="shared" si="0"/>
        <v>0</v>
      </c>
      <c r="M21" s="6" t="s">
        <v>235</v>
      </c>
      <c r="N21" s="64"/>
      <c r="O21" s="2">
        <f>N21*50</f>
        <v>0</v>
      </c>
      <c r="P21" s="2">
        <v>0</v>
      </c>
      <c r="Q21" s="170"/>
    </row>
    <row r="22" spans="1:17" ht="13" x14ac:dyDescent="0.3">
      <c r="A22" s="6" t="s">
        <v>135</v>
      </c>
      <c r="B22" s="64"/>
      <c r="C22" s="2">
        <f>B22*1.4</f>
        <v>0</v>
      </c>
      <c r="D22" s="6">
        <f>B22*0.08</f>
        <v>0</v>
      </c>
      <c r="E22" s="170"/>
      <c r="G22" s="73" t="s">
        <v>6</v>
      </c>
      <c r="H22" s="93" t="s">
        <v>56</v>
      </c>
      <c r="I22" s="94" t="s">
        <v>23</v>
      </c>
      <c r="J22" s="95" t="s">
        <v>44</v>
      </c>
      <c r="K22" s="72" t="s">
        <v>2</v>
      </c>
      <c r="M22" s="2" t="s">
        <v>236</v>
      </c>
      <c r="N22" s="64"/>
      <c r="O22" s="2">
        <f>N22*30</f>
        <v>0</v>
      </c>
      <c r="P22" s="2">
        <v>0</v>
      </c>
      <c r="Q22" s="170"/>
    </row>
    <row r="23" spans="1:17" x14ac:dyDescent="0.25">
      <c r="A23" s="6" t="s">
        <v>126</v>
      </c>
      <c r="B23" s="64"/>
      <c r="C23" s="2">
        <f>B23*0.4</f>
        <v>0</v>
      </c>
      <c r="D23" s="2">
        <f>B23*0.03</f>
        <v>0</v>
      </c>
      <c r="E23" s="170">
        <f t="shared" si="0"/>
        <v>0</v>
      </c>
      <c r="G23" s="6" t="s">
        <v>222</v>
      </c>
      <c r="H23" s="64"/>
      <c r="I23" s="2">
        <f>H23*200</f>
        <v>0</v>
      </c>
      <c r="J23" s="2">
        <f>H23*1</f>
        <v>0</v>
      </c>
      <c r="K23" s="170"/>
    </row>
    <row r="24" spans="1:17" ht="13" x14ac:dyDescent="0.3">
      <c r="E24" s="65"/>
      <c r="G24" s="6" t="s">
        <v>221</v>
      </c>
      <c r="H24" s="64"/>
      <c r="I24" s="2">
        <f>H24*150</f>
        <v>0</v>
      </c>
      <c r="J24" s="2">
        <f>H24*4</f>
        <v>0</v>
      </c>
      <c r="K24" s="170"/>
      <c r="M24" s="73" t="s">
        <v>7</v>
      </c>
      <c r="N24" s="93" t="s">
        <v>56</v>
      </c>
      <c r="O24" s="94" t="s">
        <v>23</v>
      </c>
      <c r="P24" s="95" t="s">
        <v>44</v>
      </c>
      <c r="Q24" s="72" t="s">
        <v>2</v>
      </c>
    </row>
    <row r="25" spans="1:17" ht="13" x14ac:dyDescent="0.3">
      <c r="A25" s="71" t="s">
        <v>120</v>
      </c>
      <c r="B25" s="93" t="s">
        <v>53</v>
      </c>
      <c r="C25" s="94" t="s">
        <v>23</v>
      </c>
      <c r="D25" s="95" t="s">
        <v>44</v>
      </c>
      <c r="E25" s="72" t="s">
        <v>2</v>
      </c>
      <c r="G25" s="6" t="s">
        <v>159</v>
      </c>
      <c r="H25" s="64"/>
      <c r="I25" s="2">
        <f>H25*130</f>
        <v>0</v>
      </c>
      <c r="J25" s="2">
        <f>H25*2</f>
        <v>0</v>
      </c>
      <c r="K25" s="171"/>
      <c r="M25" s="2" t="s">
        <v>73</v>
      </c>
      <c r="N25" s="64"/>
      <c r="O25" s="13">
        <f>N25*40</f>
        <v>0</v>
      </c>
      <c r="P25" s="13">
        <f>N25*1</f>
        <v>0</v>
      </c>
      <c r="Q25" s="170"/>
    </row>
    <row r="26" spans="1:17" x14ac:dyDescent="0.25">
      <c r="A26" s="2" t="s">
        <v>3</v>
      </c>
      <c r="B26" s="64"/>
      <c r="C26" s="13">
        <f>B26*70</f>
        <v>0</v>
      </c>
      <c r="D26" s="13">
        <f>B26*2</f>
        <v>0</v>
      </c>
      <c r="E26" s="170"/>
      <c r="G26" s="6" t="s">
        <v>229</v>
      </c>
      <c r="H26" s="64"/>
      <c r="I26" s="2">
        <f>H26*80</f>
        <v>0</v>
      </c>
      <c r="J26" s="2">
        <f>H26*1</f>
        <v>0</v>
      </c>
      <c r="K26" s="170"/>
      <c r="M26" s="2" t="s">
        <v>107</v>
      </c>
      <c r="N26" s="64"/>
      <c r="O26" s="2">
        <f>N26*550</f>
        <v>0</v>
      </c>
      <c r="P26" s="2">
        <f>N26*8</f>
        <v>0</v>
      </c>
      <c r="Q26" s="170"/>
    </row>
    <row r="27" spans="1:17" x14ac:dyDescent="0.25">
      <c r="A27" s="6" t="s">
        <v>155</v>
      </c>
      <c r="B27" s="64"/>
      <c r="C27" s="2">
        <f>B27*80</f>
        <v>0</v>
      </c>
      <c r="D27" s="2">
        <f>B27*4</f>
        <v>0</v>
      </c>
      <c r="E27" s="170"/>
      <c r="G27" s="6" t="s">
        <v>225</v>
      </c>
      <c r="H27" s="64"/>
      <c r="I27" s="2">
        <f>H27*60</f>
        <v>0</v>
      </c>
      <c r="J27" s="2">
        <f>H27*1</f>
        <v>0</v>
      </c>
      <c r="K27" s="170"/>
      <c r="M27" s="6" t="s">
        <v>184</v>
      </c>
      <c r="N27" s="64"/>
      <c r="O27" s="2">
        <f>N27*135</f>
        <v>0</v>
      </c>
      <c r="P27" s="2">
        <f>N27*1</f>
        <v>0</v>
      </c>
      <c r="Q27" s="170"/>
    </row>
    <row r="28" spans="1:17" x14ac:dyDescent="0.25">
      <c r="A28" s="6" t="s">
        <v>180</v>
      </c>
      <c r="B28" s="64"/>
      <c r="C28" s="2">
        <f>B28*85</f>
        <v>0</v>
      </c>
      <c r="D28" s="2">
        <f>B28*2</f>
        <v>0</v>
      </c>
      <c r="E28" s="170"/>
      <c r="G28" s="6" t="s">
        <v>224</v>
      </c>
      <c r="H28" s="64"/>
      <c r="I28" s="13">
        <f>H28*190</f>
        <v>0</v>
      </c>
      <c r="J28" s="13">
        <f>H28*2</f>
        <v>0</v>
      </c>
      <c r="K28" s="170"/>
      <c r="M28" s="6" t="s">
        <v>78</v>
      </c>
      <c r="N28" s="64"/>
      <c r="O28" s="2">
        <f>N28*20</f>
        <v>0</v>
      </c>
      <c r="P28" s="2">
        <v>0</v>
      </c>
      <c r="Q28" s="170"/>
    </row>
    <row r="29" spans="1:17" x14ac:dyDescent="0.25">
      <c r="A29" s="6" t="s">
        <v>181</v>
      </c>
      <c r="B29" s="64"/>
      <c r="C29" s="2">
        <f>B29*50</f>
        <v>0</v>
      </c>
      <c r="D29" s="2">
        <f>B29*1</f>
        <v>0</v>
      </c>
      <c r="E29" s="170"/>
      <c r="G29" s="6" t="s">
        <v>227</v>
      </c>
      <c r="H29" s="64"/>
      <c r="I29" s="2">
        <f>H29*30</f>
        <v>0</v>
      </c>
      <c r="J29" s="2">
        <f>H29*0</f>
        <v>0</v>
      </c>
      <c r="K29" s="170"/>
      <c r="M29" s="6" t="s">
        <v>77</v>
      </c>
      <c r="N29" s="64"/>
      <c r="O29" s="2">
        <f>N29*4</f>
        <v>0</v>
      </c>
      <c r="P29" s="2">
        <v>0</v>
      </c>
      <c r="Q29" s="170"/>
    </row>
    <row r="30" spans="1:17" x14ac:dyDescent="0.25">
      <c r="A30" s="6" t="s">
        <v>134</v>
      </c>
      <c r="B30" s="64"/>
      <c r="C30" s="2">
        <f>B30*160</f>
        <v>0</v>
      </c>
      <c r="D30" s="2">
        <f>B30*4</f>
        <v>0</v>
      </c>
      <c r="E30" s="170"/>
      <c r="G30" s="2" t="s">
        <v>228</v>
      </c>
      <c r="H30" s="64"/>
      <c r="I30" s="2">
        <f>H30*70</f>
        <v>0</v>
      </c>
      <c r="J30" s="2">
        <f>H30*1</f>
        <v>0</v>
      </c>
      <c r="K30" s="170"/>
      <c r="M30" s="6" t="s">
        <v>79</v>
      </c>
      <c r="N30" s="64"/>
      <c r="O30" s="2">
        <f>N30*5</f>
        <v>0</v>
      </c>
      <c r="P30" s="2">
        <v>0</v>
      </c>
      <c r="Q30" s="170"/>
    </row>
    <row r="31" spans="1:17" x14ac:dyDescent="0.25">
      <c r="G31" s="2" t="s">
        <v>223</v>
      </c>
      <c r="H31" s="64"/>
      <c r="I31" s="2">
        <f>H31*20</f>
        <v>0</v>
      </c>
      <c r="J31" s="2">
        <f>H31*0</f>
        <v>0</v>
      </c>
      <c r="K31" s="170"/>
      <c r="M31" s="2" t="s">
        <v>114</v>
      </c>
      <c r="N31" s="64"/>
      <c r="O31" s="2">
        <f>N31*40</f>
        <v>0</v>
      </c>
      <c r="P31" s="2">
        <f>N31*1</f>
        <v>0</v>
      </c>
      <c r="Q31" s="170"/>
    </row>
    <row r="32" spans="1:17" ht="13" x14ac:dyDescent="0.3">
      <c r="A32" s="73" t="s">
        <v>4</v>
      </c>
      <c r="B32" s="72" t="s">
        <v>56</v>
      </c>
      <c r="C32" s="72" t="s">
        <v>23</v>
      </c>
      <c r="D32" s="72" t="s">
        <v>44</v>
      </c>
      <c r="E32" s="72" t="s">
        <v>2</v>
      </c>
      <c r="G32" s="2" t="s">
        <v>226</v>
      </c>
      <c r="H32" s="64"/>
      <c r="I32" s="2">
        <f>H32*50</f>
        <v>0</v>
      </c>
      <c r="J32" s="2">
        <f>H32*1</f>
        <v>0</v>
      </c>
      <c r="K32" s="170"/>
      <c r="M32" s="2" t="s">
        <v>76</v>
      </c>
      <c r="N32" s="64"/>
      <c r="O32" s="2">
        <f>N32*60</f>
        <v>0</v>
      </c>
      <c r="P32" s="2">
        <f>N32*1</f>
        <v>0</v>
      </c>
      <c r="Q32" s="170"/>
    </row>
    <row r="33" spans="1:17" x14ac:dyDescent="0.25">
      <c r="A33" s="2" t="s">
        <v>5</v>
      </c>
      <c r="B33" s="64"/>
      <c r="C33" s="2">
        <f>B33*140</f>
        <v>0</v>
      </c>
      <c r="D33" s="2">
        <f>B33*6</f>
        <v>0</v>
      </c>
      <c r="E33" s="170"/>
      <c r="M33" s="2" t="s">
        <v>75</v>
      </c>
      <c r="N33" s="64"/>
      <c r="O33" s="2">
        <f>N33*30</f>
        <v>0</v>
      </c>
      <c r="P33" s="2">
        <f>N33*1</f>
        <v>0</v>
      </c>
      <c r="Q33" s="170"/>
    </row>
    <row r="34" spans="1:17" x14ac:dyDescent="0.25">
      <c r="A34" s="2" t="s">
        <v>192</v>
      </c>
      <c r="B34" s="64"/>
      <c r="C34" s="2">
        <f>B34*110</f>
        <v>0</v>
      </c>
      <c r="D34" s="2">
        <f>B34*5</f>
        <v>0</v>
      </c>
      <c r="E34" s="170"/>
      <c r="M34" s="2" t="s">
        <v>74</v>
      </c>
      <c r="N34" s="64"/>
      <c r="O34" s="2">
        <f>N34*8</f>
        <v>0</v>
      </c>
      <c r="P34" s="2">
        <f>N34*0</f>
        <v>0</v>
      </c>
      <c r="Q34" s="170"/>
    </row>
    <row r="35" spans="1:17" x14ac:dyDescent="0.25">
      <c r="A35" s="6" t="s">
        <v>57</v>
      </c>
      <c r="B35" s="64"/>
      <c r="C35" s="2">
        <f>B35*70</f>
        <v>0</v>
      </c>
      <c r="D35" s="2">
        <f>B35*2</f>
        <v>0</v>
      </c>
      <c r="E35" s="170"/>
      <c r="M35" s="2" t="s">
        <v>104</v>
      </c>
      <c r="N35" s="64"/>
      <c r="O35" s="2">
        <f>N35*400</f>
        <v>0</v>
      </c>
      <c r="P35" s="2">
        <f>N35*10</f>
        <v>0</v>
      </c>
      <c r="Q35" s="170"/>
    </row>
    <row r="36" spans="1:17" x14ac:dyDescent="0.25">
      <c r="A36" s="6" t="s">
        <v>58</v>
      </c>
      <c r="B36" s="64"/>
      <c r="C36" s="2">
        <f>B36*40</f>
        <v>0</v>
      </c>
      <c r="D36" s="2">
        <f>B36*1</f>
        <v>0</v>
      </c>
      <c r="E36" s="170"/>
      <c r="M36" s="2" t="s">
        <v>105</v>
      </c>
      <c r="N36" s="64"/>
      <c r="O36" s="2">
        <f>N36*200</f>
        <v>0</v>
      </c>
      <c r="P36" s="2">
        <f>N36*2</f>
        <v>0</v>
      </c>
      <c r="Q36" s="170"/>
    </row>
    <row r="37" spans="1:17" x14ac:dyDescent="0.25">
      <c r="A37" s="2" t="s">
        <v>190</v>
      </c>
      <c r="B37" s="64"/>
      <c r="C37" s="2">
        <f>B37*70</f>
        <v>0</v>
      </c>
      <c r="D37" s="2">
        <v>0</v>
      </c>
      <c r="E37" s="170"/>
    </row>
    <row r="38" spans="1:17" x14ac:dyDescent="0.25">
      <c r="A38" s="2" t="s">
        <v>191</v>
      </c>
      <c r="B38" s="64"/>
      <c r="C38" s="2">
        <f>B38*40</f>
        <v>0</v>
      </c>
      <c r="D38" s="2">
        <v>0</v>
      </c>
      <c r="E38" s="170"/>
    </row>
    <row r="39" spans="1:17" x14ac:dyDescent="0.25">
      <c r="A39" s="6" t="s">
        <v>136</v>
      </c>
      <c r="B39" s="64"/>
      <c r="C39" s="2">
        <f>B39*50</f>
        <v>0</v>
      </c>
      <c r="D39" s="2">
        <f>B39*3</f>
        <v>0</v>
      </c>
      <c r="E39" s="170"/>
    </row>
    <row r="40" spans="1:17" x14ac:dyDescent="0.25">
      <c r="A40" s="6" t="s">
        <v>137</v>
      </c>
      <c r="B40" s="64"/>
      <c r="C40" s="2">
        <f>B40*20</f>
        <v>0</v>
      </c>
      <c r="D40" s="2">
        <f>B40*3</f>
        <v>0</v>
      </c>
      <c r="E40" s="170"/>
    </row>
    <row r="41" spans="1:17" x14ac:dyDescent="0.25">
      <c r="A41" s="6" t="s">
        <v>138</v>
      </c>
      <c r="B41" s="64"/>
      <c r="C41" s="2">
        <f>B41*40</f>
        <v>0</v>
      </c>
      <c r="D41" s="2">
        <f>B41*2</f>
        <v>0</v>
      </c>
      <c r="E41" s="170"/>
    </row>
    <row r="42" spans="1:17" x14ac:dyDescent="0.25">
      <c r="A42" s="6" t="s">
        <v>187</v>
      </c>
      <c r="B42" s="64"/>
      <c r="C42" s="2">
        <f>B42*40</f>
        <v>0</v>
      </c>
      <c r="D42" s="2">
        <f>B42*1</f>
        <v>0</v>
      </c>
      <c r="E42" s="170"/>
    </row>
    <row r="43" spans="1:17" ht="13" thickBot="1" x14ac:dyDescent="0.3">
      <c r="A43" s="6" t="s">
        <v>217</v>
      </c>
      <c r="B43" s="64"/>
      <c r="C43" s="2">
        <f>B43*25</f>
        <v>0</v>
      </c>
      <c r="D43" s="2">
        <f>B43*2</f>
        <v>0</v>
      </c>
      <c r="E43" s="170"/>
    </row>
    <row r="44" spans="1:17" ht="13" x14ac:dyDescent="0.3">
      <c r="A44" s="6" t="s">
        <v>216</v>
      </c>
      <c r="B44" s="64"/>
      <c r="C44" s="2">
        <f>B44*34</f>
        <v>0</v>
      </c>
      <c r="D44" s="2">
        <f>B44*2</f>
        <v>0</v>
      </c>
      <c r="E44" s="170"/>
      <c r="M44" s="177" t="s">
        <v>91</v>
      </c>
      <c r="N44" s="130">
        <f>CEILING(SUM(C6:C52,I5:I32,O6:O36),1)</f>
        <v>0</v>
      </c>
      <c r="O44" s="67" t="s">
        <v>23</v>
      </c>
    </row>
    <row r="45" spans="1:17" ht="13" x14ac:dyDescent="0.3">
      <c r="A45" s="2" t="s">
        <v>59</v>
      </c>
      <c r="B45" s="64"/>
      <c r="C45" s="2">
        <f>B45*80</f>
        <v>0</v>
      </c>
      <c r="D45" s="2">
        <f>B45*8</f>
        <v>0</v>
      </c>
      <c r="E45" s="170"/>
      <c r="M45" s="178" t="s">
        <v>92</v>
      </c>
      <c r="N45" s="131">
        <f>CEILING(SUM(D6:D52, J6:J32,P6:P36),1)</f>
        <v>0</v>
      </c>
      <c r="O45" s="68" t="s">
        <v>44</v>
      </c>
    </row>
    <row r="46" spans="1:17" ht="13.5" thickBot="1" x14ac:dyDescent="0.35">
      <c r="A46" s="147" t="s">
        <v>153</v>
      </c>
      <c r="B46" s="148"/>
      <c r="C46" s="2">
        <f>B46*60</f>
        <v>0</v>
      </c>
      <c r="D46" s="2">
        <f>B46*2</f>
        <v>0</v>
      </c>
      <c r="E46" s="170"/>
      <c r="M46" s="179" t="s">
        <v>93</v>
      </c>
      <c r="N46" s="132">
        <f>CEILING(SUM(E6:E23,K6:K20,Q6:Q9,E26:E30,E33:E52,K23:K32,Q12:Q22,Q25:Q36),1)</f>
        <v>0</v>
      </c>
      <c r="O46" s="69" t="s">
        <v>2</v>
      </c>
    </row>
    <row r="47" spans="1:17" x14ac:dyDescent="0.25">
      <c r="A47" s="6" t="s">
        <v>106</v>
      </c>
      <c r="B47" s="64"/>
      <c r="C47" s="2">
        <f>B47*20</f>
        <v>0</v>
      </c>
      <c r="D47" s="2">
        <f>B47*1</f>
        <v>0</v>
      </c>
      <c r="E47" s="170"/>
    </row>
    <row r="48" spans="1:17" x14ac:dyDescent="0.25">
      <c r="A48" s="6" t="s">
        <v>145</v>
      </c>
      <c r="B48" s="64"/>
      <c r="C48" s="2">
        <f>B48*40</f>
        <v>0</v>
      </c>
      <c r="D48" s="2">
        <v>0</v>
      </c>
      <c r="E48" s="170"/>
    </row>
    <row r="49" spans="1:5" x14ac:dyDescent="0.25">
      <c r="A49" s="6" t="s">
        <v>139</v>
      </c>
      <c r="B49" s="64"/>
      <c r="C49" s="2">
        <f>B49*110</f>
        <v>0</v>
      </c>
      <c r="D49" s="2">
        <f>B49*7</f>
        <v>0</v>
      </c>
      <c r="E49" s="170"/>
    </row>
    <row r="50" spans="1:5" x14ac:dyDescent="0.25">
      <c r="A50" s="6" t="s">
        <v>112</v>
      </c>
      <c r="B50" s="64"/>
      <c r="C50" s="2">
        <f>B50*4</f>
        <v>0</v>
      </c>
      <c r="D50" s="2">
        <v>0</v>
      </c>
      <c r="E50" s="170"/>
    </row>
    <row r="51" spans="1:5" x14ac:dyDescent="0.25">
      <c r="A51" s="6" t="s">
        <v>218</v>
      </c>
      <c r="B51" s="64"/>
      <c r="C51" s="2">
        <f>B51*195</f>
        <v>0</v>
      </c>
      <c r="D51" s="2">
        <f>B51*8</f>
        <v>0</v>
      </c>
      <c r="E51" s="170"/>
    </row>
    <row r="52" spans="1:5" x14ac:dyDescent="0.25">
      <c r="A52" s="6" t="s">
        <v>219</v>
      </c>
      <c r="B52" s="64"/>
      <c r="C52" s="2">
        <f>B52*250</f>
        <v>0</v>
      </c>
      <c r="D52" s="2">
        <f>B52*9</f>
        <v>0</v>
      </c>
      <c r="E52" s="170"/>
    </row>
  </sheetData>
  <sheetProtection algorithmName="SHA-512" hashValue="ZQoWRSVnNE0jG2OJvYrsYZH4Uq64giGd7D2Yh7csYwR8UFHHgKOOj11XCGtozyxtgat4GqwkIBivYJK0zIRHRg==" saltValue="pye65wf7GNs1g+sutlbY4g==" spinCount="100000" sheet="1" selectLockedCells="1"/>
  <mergeCells count="2">
    <mergeCell ref="A1:P1"/>
    <mergeCell ref="A2:P2"/>
  </mergeCells>
  <phoneticPr fontId="3" type="noConversion"/>
  <pageMargins left="0.75" right="0.75" top="1" bottom="1" header="0.5" footer="0.5"/>
  <pageSetup paperSize="9" scale="45" orientation="landscape" r:id="rId1"/>
  <headerFooter alignWithMargins="0">
    <oddFooter>&amp;LOriginalidé: Hans Larsson, ssk på hematologen 4, SUS Lund</oddFooter>
  </headerFooter>
  <ignoredErrors>
    <ignoredError sqref="C7 P40 C36:C37 D45 D42 D18 D27 J8 I12 J30:J31 P26 C9" formula="1"/>
    <ignoredError sqref="E6:E11 E14:E17 Q9 E23 E19:E21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F22"/>
  <sheetViews>
    <sheetView zoomScaleNormal="100" workbookViewId="0">
      <selection activeCell="B12" sqref="B12"/>
    </sheetView>
  </sheetViews>
  <sheetFormatPr defaultColWidth="9.08984375" defaultRowHeight="12.5" x14ac:dyDescent="0.25"/>
  <cols>
    <col min="1" max="1" width="35.08984375" customWidth="1"/>
    <col min="2" max="2" width="6" customWidth="1"/>
    <col min="3" max="3" width="6.6328125" customWidth="1"/>
    <col min="4" max="4" width="7.1796875" customWidth="1"/>
    <col min="5" max="5" width="7.453125" hidden="1" customWidth="1"/>
    <col min="6" max="6" width="9.54296875" hidden="1" customWidth="1"/>
  </cols>
  <sheetData>
    <row r="1" spans="1:5" ht="30.65" customHeight="1" x14ac:dyDescent="0.25">
      <c r="A1" s="190" t="s">
        <v>10</v>
      </c>
      <c r="B1" s="190"/>
      <c r="C1" s="190"/>
      <c r="D1" s="190"/>
    </row>
    <row r="2" spans="1:5" ht="43.75" customHeight="1" x14ac:dyDescent="0.35">
      <c r="A2" s="188" t="s">
        <v>72</v>
      </c>
      <c r="B2" s="189"/>
      <c r="C2" s="189"/>
      <c r="D2" s="189"/>
    </row>
    <row r="4" spans="1:5" x14ac:dyDescent="0.25">
      <c r="C4" t="s">
        <v>109</v>
      </c>
      <c r="D4" t="s">
        <v>110</v>
      </c>
      <c r="E4" t="s">
        <v>111</v>
      </c>
    </row>
    <row r="5" spans="1:5" ht="13" x14ac:dyDescent="0.3">
      <c r="A5" s="81" t="s">
        <v>243</v>
      </c>
      <c r="B5" s="82"/>
      <c r="C5" s="83" t="s">
        <v>23</v>
      </c>
      <c r="D5" s="84" t="s">
        <v>44</v>
      </c>
      <c r="E5" s="84" t="s">
        <v>2</v>
      </c>
    </row>
    <row r="6" spans="1:5" x14ac:dyDescent="0.25">
      <c r="A6" s="6" t="s">
        <v>240</v>
      </c>
      <c r="B6" s="133"/>
      <c r="C6" s="2">
        <f>B6*500</f>
        <v>0</v>
      </c>
      <c r="D6" s="2">
        <f>B6*23</f>
        <v>0</v>
      </c>
      <c r="E6" s="2"/>
    </row>
    <row r="7" spans="1:5" x14ac:dyDescent="0.25">
      <c r="A7" s="6" t="s">
        <v>241</v>
      </c>
      <c r="B7" s="133"/>
      <c r="C7" s="2">
        <f>B7*180</f>
        <v>0</v>
      </c>
      <c r="D7" s="2">
        <f>B7*2</f>
        <v>0</v>
      </c>
      <c r="E7" s="2"/>
    </row>
    <row r="8" spans="1:5" x14ac:dyDescent="0.25">
      <c r="A8" s="167" t="s">
        <v>247</v>
      </c>
      <c r="B8" s="168"/>
      <c r="C8" s="2">
        <f>B8*500</f>
        <v>0</v>
      </c>
      <c r="D8" s="2">
        <f>B8*20</f>
        <v>0</v>
      </c>
      <c r="E8" s="2"/>
    </row>
    <row r="9" spans="1:5" x14ac:dyDescent="0.25">
      <c r="A9" s="167" t="s">
        <v>248</v>
      </c>
      <c r="B9" s="133"/>
      <c r="C9" s="2">
        <f>B9*165</f>
        <v>0</v>
      </c>
      <c r="D9" s="2">
        <f>B9*2</f>
        <v>0</v>
      </c>
      <c r="E9" s="2"/>
    </row>
    <row r="10" spans="1:5" x14ac:dyDescent="0.25">
      <c r="A10" s="167" t="s">
        <v>147</v>
      </c>
      <c r="B10" s="133"/>
      <c r="C10" s="2">
        <f>B10*40</f>
        <v>0</v>
      </c>
      <c r="D10" s="2">
        <v>0</v>
      </c>
      <c r="E10" s="2"/>
    </row>
    <row r="11" spans="1:5" ht="13" x14ac:dyDescent="0.3">
      <c r="A11" s="81" t="s">
        <v>250</v>
      </c>
      <c r="B11" s="145"/>
      <c r="C11" s="140"/>
      <c r="D11" s="140"/>
      <c r="E11" s="140"/>
    </row>
    <row r="12" spans="1:5" x14ac:dyDescent="0.25">
      <c r="A12" s="6" t="s">
        <v>242</v>
      </c>
      <c r="B12" s="133"/>
      <c r="C12" s="2">
        <f>B12*500</f>
        <v>0</v>
      </c>
      <c r="D12" s="2">
        <f>B12*20</f>
        <v>0</v>
      </c>
      <c r="E12" s="2"/>
    </row>
    <row r="13" spans="1:5" x14ac:dyDescent="0.25">
      <c r="A13" s="6" t="s">
        <v>244</v>
      </c>
      <c r="B13" s="133"/>
      <c r="C13" s="2">
        <f>B13*500</f>
        <v>0</v>
      </c>
      <c r="D13" s="2">
        <f>B13*20</f>
        <v>0</v>
      </c>
      <c r="E13" s="2"/>
    </row>
    <row r="14" spans="1:5" x14ac:dyDescent="0.25">
      <c r="A14" s="6" t="s">
        <v>245</v>
      </c>
      <c r="B14" s="133"/>
      <c r="C14" s="2">
        <f>B14*450</f>
        <v>0</v>
      </c>
      <c r="D14" s="2">
        <f>B14*17</f>
        <v>0</v>
      </c>
      <c r="E14" s="2">
        <f>SUM(B14*250)</f>
        <v>0</v>
      </c>
    </row>
    <row r="15" spans="1:5" x14ac:dyDescent="0.25">
      <c r="A15" s="6" t="s">
        <v>267</v>
      </c>
      <c r="B15" s="133"/>
      <c r="C15" s="2">
        <f>SUM(B15*150)</f>
        <v>0</v>
      </c>
      <c r="D15" s="2">
        <f>SUM(B15*2)</f>
        <v>0</v>
      </c>
      <c r="E15" s="2">
        <f>SUM(B15*150)</f>
        <v>0</v>
      </c>
    </row>
    <row r="16" spans="1:5" x14ac:dyDescent="0.25">
      <c r="A16" s="6" t="s">
        <v>246</v>
      </c>
      <c r="B16" s="133"/>
      <c r="C16" s="2">
        <f>B16*150</f>
        <v>0</v>
      </c>
      <c r="D16" s="2">
        <f>B16*2</f>
        <v>0</v>
      </c>
      <c r="E16" s="2"/>
    </row>
    <row r="17" spans="1:5" x14ac:dyDescent="0.25">
      <c r="A17" s="6" t="s">
        <v>249</v>
      </c>
      <c r="B17" s="133"/>
      <c r="C17" s="2">
        <f>B17*500</f>
        <v>0</v>
      </c>
      <c r="D17" s="2">
        <f>B17*20</f>
        <v>0</v>
      </c>
      <c r="E17" s="2"/>
    </row>
    <row r="18" spans="1:5" x14ac:dyDescent="0.25">
      <c r="A18" s="6"/>
      <c r="B18" s="133"/>
      <c r="C18" s="2"/>
      <c r="D18" s="2"/>
      <c r="E18" s="2"/>
    </row>
    <row r="19" spans="1:5" ht="13" thickBot="1" x14ac:dyDescent="0.3">
      <c r="B19" s="63"/>
    </row>
    <row r="20" spans="1:5" ht="13" x14ac:dyDescent="0.3">
      <c r="A20" s="174" t="s">
        <v>101</v>
      </c>
      <c r="B20" s="74">
        <f>CEILING( SUM(C6:C19),1)</f>
        <v>0</v>
      </c>
      <c r="C20" s="75"/>
      <c r="D20" s="76" t="s">
        <v>23</v>
      </c>
    </row>
    <row r="21" spans="1:5" ht="13" x14ac:dyDescent="0.3">
      <c r="A21" s="175" t="s">
        <v>102</v>
      </c>
      <c r="B21" s="172">
        <f>CEILING(SUM(D6:D10,D12:D18),1)</f>
        <v>0</v>
      </c>
      <c r="C21" s="173"/>
      <c r="D21" s="77" t="s">
        <v>44</v>
      </c>
    </row>
    <row r="22" spans="1:5" ht="13.5" thickBot="1" x14ac:dyDescent="0.35">
      <c r="A22" s="176" t="s">
        <v>263</v>
      </c>
      <c r="B22" s="78">
        <f>CEILING(SUM(E6:E10,E12:E17),1)</f>
        <v>0</v>
      </c>
      <c r="C22" s="79"/>
      <c r="D22" s="80" t="s">
        <v>2</v>
      </c>
    </row>
  </sheetData>
  <sheetProtection algorithmName="SHA-512" hashValue="beWPa72U0X+i/TSJgHBFiBOtqaI83zYR7u8KFNnFDr8GL3kTYnKmhcyrHlSEU/0er832ZaQ8Db9ihFdYLSwoFg==" saltValue="VkYWhUCcalD6xw6mSKof7g==" spinCount="100000" sheet="1" selectLockedCells="1"/>
  <mergeCells count="2">
    <mergeCell ref="A2:D2"/>
    <mergeCell ref="A1:D1"/>
  </mergeCells>
  <pageMargins left="0.75" right="0.75" top="1" bottom="1" header="0.5" footer="0.5"/>
  <pageSetup paperSize="9" orientation="portrait" r:id="rId1"/>
  <headerFooter alignWithMargins="0"/>
  <ignoredErrors>
    <ignoredError sqref="D8 C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95F51"/>
  </sheetPr>
  <dimension ref="A1:K40"/>
  <sheetViews>
    <sheetView zoomScale="95" workbookViewId="0">
      <selection activeCell="N10" sqref="N10"/>
    </sheetView>
  </sheetViews>
  <sheetFormatPr defaultColWidth="9.08984375" defaultRowHeight="12.5" x14ac:dyDescent="0.25"/>
  <cols>
    <col min="1" max="1" width="29.453125" customWidth="1"/>
    <col min="2" max="2" width="6" customWidth="1"/>
    <col min="3" max="3" width="6.6328125" customWidth="1"/>
    <col min="4" max="4" width="7.453125" customWidth="1"/>
    <col min="5" max="5" width="6.6328125" hidden="1" customWidth="1"/>
    <col min="6" max="6" width="5.36328125" customWidth="1"/>
    <col min="7" max="7" width="24.90625" bestFit="1" customWidth="1"/>
    <col min="8" max="8" width="6" customWidth="1"/>
    <col min="9" max="9" width="6.90625" bestFit="1" customWidth="1"/>
    <col min="10" max="10" width="7.36328125" customWidth="1"/>
    <col min="11" max="11" width="6.6328125" hidden="1" customWidth="1"/>
  </cols>
  <sheetData>
    <row r="1" spans="1:11" ht="15.5" x14ac:dyDescent="0.35">
      <c r="A1" s="150" t="s">
        <v>10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41.4" customHeight="1" x14ac:dyDescent="0.25">
      <c r="A2" s="197" t="s">
        <v>170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</row>
    <row r="4" spans="1:11" x14ac:dyDescent="0.25">
      <c r="C4" t="s">
        <v>109</v>
      </c>
      <c r="D4" t="s">
        <v>110</v>
      </c>
      <c r="E4" t="s">
        <v>111</v>
      </c>
      <c r="I4" t="s">
        <v>109</v>
      </c>
      <c r="J4" t="s">
        <v>110</v>
      </c>
      <c r="K4" t="s">
        <v>111</v>
      </c>
    </row>
    <row r="5" spans="1:11" ht="13" x14ac:dyDescent="0.3">
      <c r="A5" s="152" t="s">
        <v>171</v>
      </c>
      <c r="B5" s="153"/>
      <c r="C5" s="154" t="s">
        <v>23</v>
      </c>
      <c r="D5" s="155" t="s">
        <v>44</v>
      </c>
      <c r="E5" s="155" t="s">
        <v>2</v>
      </c>
      <c r="G5" s="152" t="s">
        <v>172</v>
      </c>
      <c r="H5" s="156"/>
      <c r="I5" s="155" t="s">
        <v>23</v>
      </c>
      <c r="J5" s="155" t="s">
        <v>25</v>
      </c>
      <c r="K5" s="157" t="s">
        <v>2</v>
      </c>
    </row>
    <row r="6" spans="1:11" x14ac:dyDescent="0.25">
      <c r="A6" s="6" t="s">
        <v>203</v>
      </c>
      <c r="B6" s="158"/>
      <c r="C6" s="2">
        <f>B6*680</f>
        <v>0</v>
      </c>
      <c r="D6" s="2">
        <f>B6*21</f>
        <v>0</v>
      </c>
      <c r="E6" s="2" t="s">
        <v>265</v>
      </c>
      <c r="G6" s="6" t="s">
        <v>199</v>
      </c>
      <c r="H6" s="158"/>
      <c r="I6" s="2">
        <f>H6*219</f>
        <v>0</v>
      </c>
      <c r="J6" s="2">
        <f>H6*2</f>
        <v>0</v>
      </c>
      <c r="K6" s="2" t="s">
        <v>265</v>
      </c>
    </row>
    <row r="7" spans="1:11" x14ac:dyDescent="0.25">
      <c r="A7" s="6" t="s">
        <v>204</v>
      </c>
      <c r="B7" s="158"/>
      <c r="C7" s="2">
        <f>B7*648</f>
        <v>0</v>
      </c>
      <c r="D7" s="2">
        <f>B7*21</f>
        <v>0</v>
      </c>
      <c r="E7" s="2" t="s">
        <v>265</v>
      </c>
      <c r="G7" s="6" t="s">
        <v>210</v>
      </c>
      <c r="H7" s="158"/>
      <c r="I7" s="2">
        <f>H7*173</f>
        <v>0</v>
      </c>
      <c r="J7" s="2">
        <f>H7*2</f>
        <v>0</v>
      </c>
      <c r="K7" s="2" t="s">
        <v>265</v>
      </c>
    </row>
    <row r="8" spans="1:11" x14ac:dyDescent="0.25">
      <c r="A8" s="6" t="s">
        <v>193</v>
      </c>
      <c r="B8" s="158"/>
      <c r="C8" s="2">
        <f>B8*454</f>
        <v>0</v>
      </c>
      <c r="D8" s="2">
        <f>B8*20</f>
        <v>0</v>
      </c>
      <c r="E8" s="2" t="s">
        <v>265</v>
      </c>
      <c r="G8" s="6" t="s">
        <v>200</v>
      </c>
      <c r="H8" s="158"/>
      <c r="I8" s="2">
        <f>H8*199</f>
        <v>0</v>
      </c>
      <c r="J8" s="2">
        <f>H8*3</f>
        <v>0</v>
      </c>
      <c r="K8" s="2" t="s">
        <v>265</v>
      </c>
    </row>
    <row r="9" spans="1:11" ht="13" x14ac:dyDescent="0.3">
      <c r="A9" s="152" t="s">
        <v>173</v>
      </c>
      <c r="B9" s="158"/>
      <c r="C9" s="159"/>
      <c r="D9" s="159"/>
      <c r="E9" s="159"/>
      <c r="G9" s="6" t="s">
        <v>209</v>
      </c>
      <c r="H9" s="158"/>
      <c r="I9" s="2">
        <f>H9*185</f>
        <v>0</v>
      </c>
      <c r="J9" s="2">
        <f>H9*1</f>
        <v>0</v>
      </c>
      <c r="K9" s="2" t="s">
        <v>265</v>
      </c>
    </row>
    <row r="10" spans="1:11" x14ac:dyDescent="0.25">
      <c r="A10" s="6" t="s">
        <v>205</v>
      </c>
      <c r="B10" s="158"/>
      <c r="C10" s="2">
        <f>B10*463</f>
        <v>0</v>
      </c>
      <c r="D10" s="2">
        <f>B10*32</f>
        <v>0</v>
      </c>
      <c r="E10" s="2" t="s">
        <v>265</v>
      </c>
      <c r="G10" s="6" t="s">
        <v>211</v>
      </c>
      <c r="H10" s="158"/>
      <c r="I10" s="2">
        <f>H10*161</f>
        <v>0</v>
      </c>
      <c r="J10" s="2">
        <f>H10*3</f>
        <v>0</v>
      </c>
      <c r="K10" s="2" t="s">
        <v>265</v>
      </c>
    </row>
    <row r="11" spans="1:11" ht="13" x14ac:dyDescent="0.3">
      <c r="A11" s="6" t="s">
        <v>206</v>
      </c>
      <c r="B11" s="158"/>
      <c r="C11" s="2">
        <f>B11*517</f>
        <v>0</v>
      </c>
      <c r="D11" s="2">
        <f>B11*31</f>
        <v>0</v>
      </c>
      <c r="E11" s="2" t="s">
        <v>265</v>
      </c>
      <c r="G11" s="152" t="s">
        <v>175</v>
      </c>
      <c r="H11" s="158"/>
      <c r="I11" s="159"/>
      <c r="J11" s="159"/>
      <c r="K11" s="159"/>
    </row>
    <row r="12" spans="1:11" ht="13" x14ac:dyDescent="0.3">
      <c r="A12" s="152" t="s">
        <v>174</v>
      </c>
      <c r="B12" s="158"/>
      <c r="C12" s="159"/>
      <c r="D12" s="159"/>
      <c r="E12" s="159" t="s">
        <v>266</v>
      </c>
      <c r="G12" s="6" t="s">
        <v>198</v>
      </c>
      <c r="H12" s="158"/>
      <c r="I12" s="2">
        <f>H12*163</f>
        <v>0</v>
      </c>
      <c r="J12" s="2">
        <f>H12*6</f>
        <v>0</v>
      </c>
      <c r="K12" s="2">
        <f>SUM(H12*180)</f>
        <v>0</v>
      </c>
    </row>
    <row r="13" spans="1:11" x14ac:dyDescent="0.25">
      <c r="A13" s="6" t="s">
        <v>201</v>
      </c>
      <c r="B13" s="158"/>
      <c r="C13" s="2">
        <f>B13*490</f>
        <v>0</v>
      </c>
      <c r="D13" s="2">
        <f>B13*26</f>
        <v>0</v>
      </c>
      <c r="E13" s="2" t="s">
        <v>265</v>
      </c>
      <c r="G13" s="6" t="s">
        <v>202</v>
      </c>
      <c r="H13" s="158"/>
      <c r="I13" s="2">
        <f>H13*187</f>
        <v>0</v>
      </c>
      <c r="J13" s="2">
        <f>H13*5</f>
        <v>0</v>
      </c>
      <c r="K13" s="2">
        <f>SUM(H13*180)</f>
        <v>0</v>
      </c>
    </row>
    <row r="14" spans="1:11" x14ac:dyDescent="0.25">
      <c r="A14" s="6" t="s">
        <v>195</v>
      </c>
      <c r="B14" s="158"/>
      <c r="C14" s="2">
        <f>B14*582</f>
        <v>0</v>
      </c>
      <c r="D14" s="2">
        <f>B14*21</f>
        <v>0</v>
      </c>
      <c r="E14" s="2" t="s">
        <v>265</v>
      </c>
      <c r="G14" s="6" t="s">
        <v>178</v>
      </c>
      <c r="H14" s="158"/>
      <c r="I14" s="6">
        <f>H14*140</f>
        <v>0</v>
      </c>
      <c r="J14" s="6">
        <f>H14*9</f>
        <v>0</v>
      </c>
      <c r="K14" s="2" t="s">
        <v>265</v>
      </c>
    </row>
    <row r="15" spans="1:11" ht="13" x14ac:dyDescent="0.3">
      <c r="A15" s="160" t="s">
        <v>176</v>
      </c>
      <c r="B15" s="153"/>
      <c r="C15" s="159"/>
      <c r="D15" s="159"/>
      <c r="E15" s="159"/>
      <c r="G15" s="6" t="s">
        <v>208</v>
      </c>
      <c r="H15" s="158"/>
      <c r="I15" s="6">
        <f>H15*155</f>
        <v>0</v>
      </c>
      <c r="J15" s="6">
        <f>H15*6</f>
        <v>0</v>
      </c>
      <c r="K15" s="2" t="s">
        <v>265</v>
      </c>
    </row>
    <row r="16" spans="1:11" x14ac:dyDescent="0.25">
      <c r="A16" s="6" t="s">
        <v>196</v>
      </c>
      <c r="B16" s="158"/>
      <c r="C16" s="2">
        <f>B16*550</f>
        <v>0</v>
      </c>
      <c r="D16" s="2">
        <f>B16*21</f>
        <v>0</v>
      </c>
      <c r="E16" s="2" t="s">
        <v>265</v>
      </c>
    </row>
    <row r="17" spans="1:11" x14ac:dyDescent="0.25">
      <c r="A17" s="6" t="s">
        <v>197</v>
      </c>
      <c r="B17" s="158"/>
      <c r="C17" s="2">
        <f>B17*531</f>
        <v>0</v>
      </c>
      <c r="D17" s="2">
        <f>B17*30</f>
        <v>0</v>
      </c>
      <c r="E17" s="2" t="s">
        <v>265</v>
      </c>
    </row>
    <row r="18" spans="1:11" ht="13" x14ac:dyDescent="0.3">
      <c r="A18" s="152" t="s">
        <v>177</v>
      </c>
      <c r="B18" s="158"/>
      <c r="C18" s="159"/>
      <c r="D18" s="159"/>
      <c r="E18" s="159" t="s">
        <v>266</v>
      </c>
    </row>
    <row r="19" spans="1:11" x14ac:dyDescent="0.25">
      <c r="A19" s="6" t="s">
        <v>207</v>
      </c>
      <c r="B19" s="158"/>
      <c r="C19" s="2">
        <f>B19*422</f>
        <v>0</v>
      </c>
      <c r="D19" s="2">
        <f>B19*32</f>
        <v>0</v>
      </c>
      <c r="E19" s="2" t="s">
        <v>265</v>
      </c>
    </row>
    <row r="20" spans="1:11" x14ac:dyDescent="0.25">
      <c r="A20" s="6" t="s">
        <v>194</v>
      </c>
      <c r="B20" s="158"/>
      <c r="C20" s="2">
        <f>B20*451</f>
        <v>0</v>
      </c>
      <c r="D20" s="2">
        <f>B20*25</f>
        <v>0</v>
      </c>
      <c r="E20" s="2" t="s">
        <v>265</v>
      </c>
    </row>
    <row r="21" spans="1:11" ht="13" thickBot="1" x14ac:dyDescent="0.3">
      <c r="A21" s="6" t="s">
        <v>179</v>
      </c>
      <c r="B21" s="158"/>
      <c r="C21" s="2">
        <f>B21*506</f>
        <v>0</v>
      </c>
      <c r="D21" s="2">
        <f>B21*30</f>
        <v>0</v>
      </c>
      <c r="E21" s="2" t="s">
        <v>265</v>
      </c>
    </row>
    <row r="22" spans="1:11" ht="13" x14ac:dyDescent="0.3">
      <c r="G22" s="191" t="s">
        <v>101</v>
      </c>
      <c r="H22" s="192"/>
      <c r="I22" s="192"/>
      <c r="J22" s="161">
        <f>CEILING(SUM(C6:C21,I6:I17),1)</f>
        <v>0</v>
      </c>
      <c r="K22" s="162" t="s">
        <v>23</v>
      </c>
    </row>
    <row r="23" spans="1:11" ht="13" x14ac:dyDescent="0.3">
      <c r="A23" s="70"/>
      <c r="G23" s="193" t="s">
        <v>102</v>
      </c>
      <c r="H23" s="194"/>
      <c r="I23" s="194"/>
      <c r="J23" s="163">
        <f>CEILING(SUM(D6:D21,J6:J17),1)</f>
        <v>0</v>
      </c>
      <c r="K23" s="164" t="s">
        <v>44</v>
      </c>
    </row>
    <row r="24" spans="1:11" ht="13.5" thickBot="1" x14ac:dyDescent="0.35">
      <c r="G24" s="195" t="s">
        <v>103</v>
      </c>
      <c r="H24" s="196"/>
      <c r="I24" s="196"/>
      <c r="J24" s="165">
        <f>CEILING(SUM(E6:E8,K6:K10,E10:E11,E13:E14,E16:E17,E19:E21,K12:K15),1)</f>
        <v>0</v>
      </c>
      <c r="K24" s="166" t="s">
        <v>2</v>
      </c>
    </row>
    <row r="27" spans="1:11" x14ac:dyDescent="0.25">
      <c r="G27" s="70"/>
    </row>
    <row r="29" spans="1:11" ht="13" x14ac:dyDescent="0.3">
      <c r="K29" s="20"/>
    </row>
    <row r="36" spans="1:11" x14ac:dyDescent="0.25">
      <c r="A36" s="70"/>
      <c r="E36" s="21"/>
      <c r="F36" s="21"/>
      <c r="K36" s="21"/>
    </row>
    <row r="40" spans="1:11" x14ac:dyDescent="0.25">
      <c r="G40" s="70"/>
    </row>
  </sheetData>
  <sheetProtection algorithmName="SHA-512" hashValue="4D9DMI4tacTyUkyjMMWWQetrmiLut+X8X6DSQdccCDfVVeoyt9RukEzkma0b5Mp3AXs16OfSjeEsSoWrhqpFnQ==" saltValue="Ksww3MrzrixiB+zMFpk5NA==" spinCount="100000" sheet="1" objects="1" scenarios="1"/>
  <mergeCells count="4">
    <mergeCell ref="G22:I22"/>
    <mergeCell ref="G23:I23"/>
    <mergeCell ref="G24:I24"/>
    <mergeCell ref="A2:K2"/>
  </mergeCells>
  <pageMargins left="0.7" right="0.7" top="0.75" bottom="0.75" header="0.3" footer="0.3"/>
  <ignoredErrors>
    <ignoredError sqref="J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4"/>
  </sheetPr>
  <dimension ref="A1:V40"/>
  <sheetViews>
    <sheetView zoomScaleNormal="85" zoomScaleSheetLayoutView="100" workbookViewId="0">
      <selection activeCell="B6" sqref="B6"/>
    </sheetView>
  </sheetViews>
  <sheetFormatPr defaultRowHeight="12.5" x14ac:dyDescent="0.25"/>
  <cols>
    <col min="1" max="1" width="45.08984375" customWidth="1"/>
    <col min="2" max="2" width="6.36328125" customWidth="1"/>
    <col min="3" max="3" width="9.6328125" customWidth="1"/>
    <col min="4" max="4" width="10.54296875" customWidth="1"/>
    <col min="5" max="5" width="9" customWidth="1"/>
    <col min="6" max="6" width="5.453125" customWidth="1"/>
    <col min="7" max="7" width="46.453125" customWidth="1"/>
    <col min="8" max="8" width="6.36328125" style="105" customWidth="1"/>
    <col min="9" max="9" width="7.08984375" customWidth="1"/>
    <col min="10" max="10" width="8" customWidth="1"/>
    <col min="11" max="11" width="7.6328125" customWidth="1"/>
  </cols>
  <sheetData>
    <row r="1" spans="1:22" ht="15.5" x14ac:dyDescent="0.35">
      <c r="A1" s="16" t="s">
        <v>10</v>
      </c>
      <c r="B1" s="16"/>
      <c r="C1" s="17"/>
      <c r="D1" s="16"/>
      <c r="E1" s="16"/>
      <c r="F1" s="35"/>
      <c r="G1" s="47"/>
      <c r="H1" s="180"/>
      <c r="I1" s="47"/>
      <c r="J1" s="47"/>
      <c r="K1" s="47"/>
      <c r="L1" s="47"/>
      <c r="M1" s="47"/>
      <c r="N1" s="7"/>
      <c r="O1" s="7"/>
      <c r="P1" s="7"/>
    </row>
    <row r="2" spans="1:22" ht="33.65" customHeight="1" x14ac:dyDescent="0.35">
      <c r="A2" s="16" t="s">
        <v>40</v>
      </c>
      <c r="B2" s="16"/>
      <c r="C2" s="17"/>
      <c r="D2" s="16"/>
      <c r="E2" s="16"/>
      <c r="F2" s="35"/>
      <c r="G2" s="47"/>
      <c r="H2" s="180"/>
      <c r="I2" s="47"/>
      <c r="J2" s="47"/>
      <c r="K2" s="47"/>
      <c r="L2" s="47"/>
      <c r="M2" s="47"/>
      <c r="N2" s="7"/>
      <c r="O2" s="7"/>
      <c r="P2" s="7"/>
    </row>
    <row r="3" spans="1:22" x14ac:dyDescent="0.25">
      <c r="G3" s="47"/>
      <c r="H3" s="180"/>
      <c r="I3" s="47"/>
      <c r="J3" s="7"/>
      <c r="K3" s="7"/>
      <c r="L3" s="7"/>
      <c r="M3" s="7"/>
      <c r="N3" s="7"/>
      <c r="O3" s="7"/>
      <c r="P3" s="7"/>
    </row>
    <row r="4" spans="1:22" ht="13" x14ac:dyDescent="0.3">
      <c r="A4" s="1"/>
    </row>
    <row r="5" spans="1:22" ht="17.25" customHeight="1" x14ac:dyDescent="0.35">
      <c r="A5" s="85" t="s">
        <v>118</v>
      </c>
      <c r="B5" s="181" t="s">
        <v>2</v>
      </c>
      <c r="C5" s="86" t="s">
        <v>97</v>
      </c>
      <c r="D5" s="86" t="s">
        <v>96</v>
      </c>
      <c r="E5" s="86" t="s">
        <v>64</v>
      </c>
      <c r="G5" s="85" t="s">
        <v>68</v>
      </c>
      <c r="H5" s="181" t="s">
        <v>2</v>
      </c>
      <c r="I5" s="86" t="s">
        <v>97</v>
      </c>
      <c r="J5" s="86" t="s">
        <v>25</v>
      </c>
      <c r="K5" s="86" t="s">
        <v>64</v>
      </c>
    </row>
    <row r="6" spans="1:22" s="7" customFormat="1" ht="17.25" customHeight="1" x14ac:dyDescent="0.25">
      <c r="A6" s="6" t="s">
        <v>161</v>
      </c>
      <c r="B6" s="141"/>
      <c r="C6" s="6">
        <f>B6*2</f>
        <v>0</v>
      </c>
      <c r="D6" s="6">
        <f>B6*0.09</f>
        <v>0</v>
      </c>
      <c r="E6" s="6">
        <f>B6*0.69</f>
        <v>0</v>
      </c>
      <c r="G6" s="4" t="s">
        <v>38</v>
      </c>
      <c r="H6" s="182"/>
      <c r="I6" s="6">
        <f>H6*2</f>
        <v>0</v>
      </c>
      <c r="J6" s="6">
        <f>H6*0.0392</f>
        <v>0</v>
      </c>
      <c r="K6" s="6">
        <f>H6*0.71</f>
        <v>0</v>
      </c>
    </row>
    <row r="7" spans="1:22" s="7" customFormat="1" ht="17.25" customHeight="1" x14ac:dyDescent="0.25">
      <c r="A7" s="6" t="s">
        <v>127</v>
      </c>
      <c r="B7" s="141"/>
      <c r="C7" s="6">
        <f>B7*2</f>
        <v>0</v>
      </c>
      <c r="D7" s="6">
        <f>B7*0.1</f>
        <v>0</v>
      </c>
      <c r="E7" s="6">
        <f>B7*0.68</f>
        <v>0</v>
      </c>
      <c r="G7" s="6" t="s">
        <v>39</v>
      </c>
      <c r="H7" s="182"/>
      <c r="I7" s="6">
        <f>H7*1.992</f>
        <v>0</v>
      </c>
      <c r="J7" s="6">
        <f>H7*0.0728</f>
        <v>0</v>
      </c>
      <c r="K7" s="6">
        <f>H7*0.71</f>
        <v>0</v>
      </c>
    </row>
    <row r="8" spans="1:22" s="7" customFormat="1" ht="17.25" customHeight="1" x14ac:dyDescent="0.25">
      <c r="A8" s="6" t="s">
        <v>253</v>
      </c>
      <c r="B8" s="141"/>
      <c r="C8" s="6">
        <f>B8*2.24</f>
        <v>0</v>
      </c>
      <c r="D8" s="6">
        <f>B8*0.16</f>
        <v>0</v>
      </c>
      <c r="E8" s="6">
        <f>B8*0.66</f>
        <v>0</v>
      </c>
      <c r="G8" s="6" t="s">
        <v>164</v>
      </c>
      <c r="H8" s="182"/>
      <c r="I8" s="6">
        <f>H8*1.5</f>
        <v>0</v>
      </c>
      <c r="J8" s="6">
        <f>H8*0.038</f>
        <v>0</v>
      </c>
      <c r="K8" s="6">
        <f>H8*0.78</f>
        <v>0</v>
      </c>
    </row>
    <row r="9" spans="1:22" s="7" customFormat="1" ht="17.25" customHeight="1" x14ac:dyDescent="0.25">
      <c r="A9" s="6" t="s">
        <v>252</v>
      </c>
      <c r="B9" s="141"/>
      <c r="C9" s="6">
        <f>B9*1.6</f>
        <v>0</v>
      </c>
      <c r="D9" s="6">
        <f>B9*1</f>
        <v>0</v>
      </c>
      <c r="E9" s="6">
        <f>B9*0.75</f>
        <v>0</v>
      </c>
      <c r="G9" s="6" t="s">
        <v>165</v>
      </c>
      <c r="H9" s="182"/>
      <c r="I9" s="6">
        <f>H9*1.5</f>
        <v>0</v>
      </c>
      <c r="J9" s="6">
        <f>H9*0.034</f>
        <v>0</v>
      </c>
      <c r="K9" s="2">
        <f>H9*0.77</f>
        <v>0</v>
      </c>
    </row>
    <row r="10" spans="1:22" s="7" customFormat="1" ht="17.25" customHeight="1" x14ac:dyDescent="0.25">
      <c r="A10" s="6" t="s">
        <v>51</v>
      </c>
      <c r="B10" s="141"/>
      <c r="C10" s="6">
        <f>B10*1.5</f>
        <v>0</v>
      </c>
      <c r="D10" s="6">
        <f>B10*0.1</f>
        <v>0</v>
      </c>
      <c r="E10" s="6">
        <f>B10*0.79</f>
        <v>0</v>
      </c>
      <c r="G10" s="6" t="s">
        <v>166</v>
      </c>
      <c r="H10" s="182"/>
      <c r="I10" s="6">
        <f>H10*1.2</f>
        <v>0</v>
      </c>
      <c r="J10" s="6">
        <f>H10*0.038</f>
        <v>0</v>
      </c>
      <c r="K10" s="2">
        <f>H10*0.82</f>
        <v>0</v>
      </c>
    </row>
    <row r="11" spans="1:22" s="7" customFormat="1" ht="17.25" customHeight="1" x14ac:dyDescent="0.25">
      <c r="A11" s="6" t="s">
        <v>251</v>
      </c>
      <c r="B11" s="141"/>
      <c r="C11" s="6">
        <f>B11*2.4</f>
        <v>0</v>
      </c>
      <c r="D11" s="6">
        <f>B11*0.144</f>
        <v>0</v>
      </c>
      <c r="E11" s="6">
        <f>B11*0.62</f>
        <v>0</v>
      </c>
      <c r="G11" s="6" t="s">
        <v>167</v>
      </c>
      <c r="H11" s="182"/>
      <c r="I11" s="6">
        <f>H11*1.5</f>
        <v>0</v>
      </c>
      <c r="J11" s="6">
        <f>H11*0.1</f>
        <v>0</v>
      </c>
      <c r="K11" s="6">
        <f>H11*0.79</f>
        <v>0</v>
      </c>
      <c r="L11" s="21" t="s">
        <v>90</v>
      </c>
      <c r="M11"/>
      <c r="N11"/>
      <c r="O11"/>
      <c r="P11"/>
      <c r="Q11"/>
      <c r="R11"/>
      <c r="S11"/>
      <c r="T11"/>
      <c r="U11"/>
      <c r="V11"/>
    </row>
    <row r="12" spans="1:22" s="7" customFormat="1" ht="17.25" customHeight="1" x14ac:dyDescent="0.25">
      <c r="A12" s="6" t="s">
        <v>254</v>
      </c>
      <c r="B12" s="141"/>
      <c r="C12" s="6">
        <f>B12*2</f>
        <v>0</v>
      </c>
      <c r="D12" s="6">
        <f>B12*0.1</f>
        <v>0</v>
      </c>
      <c r="E12" s="6">
        <f>B12*0.78</f>
        <v>0</v>
      </c>
      <c r="G12" s="6" t="s">
        <v>116</v>
      </c>
      <c r="H12" s="182"/>
      <c r="I12" s="6">
        <f>H12*1.5</f>
        <v>0</v>
      </c>
      <c r="J12" s="6">
        <f>H12*0.075</f>
        <v>0</v>
      </c>
      <c r="K12" s="6">
        <f>H12*0.66</f>
        <v>0</v>
      </c>
      <c r="L12"/>
      <c r="M12"/>
      <c r="N12"/>
      <c r="O12"/>
      <c r="P12"/>
      <c r="Q12"/>
      <c r="R12"/>
      <c r="S12"/>
      <c r="T12"/>
      <c r="U12"/>
      <c r="V12"/>
    </row>
    <row r="13" spans="1:22" s="7" customFormat="1" ht="17.25" customHeight="1" x14ac:dyDescent="0.25">
      <c r="A13" s="6" t="s">
        <v>162</v>
      </c>
      <c r="B13" s="141"/>
      <c r="C13" s="6">
        <f>B13*2</f>
        <v>0</v>
      </c>
      <c r="D13" s="6">
        <f>B13*0.1</f>
        <v>0</v>
      </c>
      <c r="E13" s="6">
        <f>B13*0.7</f>
        <v>0</v>
      </c>
      <c r="G13" s="6" t="s">
        <v>52</v>
      </c>
      <c r="H13" s="182"/>
      <c r="I13" s="6">
        <f>H13*1.58</f>
        <v>0</v>
      </c>
      <c r="J13" s="6">
        <f>H13*0.07</f>
        <v>0</v>
      </c>
      <c r="K13" s="6">
        <f>H13*0.66</f>
        <v>0</v>
      </c>
      <c r="L13"/>
      <c r="M13"/>
      <c r="N13"/>
      <c r="O13"/>
      <c r="P13"/>
      <c r="Q13"/>
      <c r="R13"/>
      <c r="S13"/>
      <c r="T13"/>
      <c r="U13"/>
      <c r="V13"/>
    </row>
    <row r="14" spans="1:22" ht="17.25" customHeight="1" x14ac:dyDescent="0.25">
      <c r="A14" s="2"/>
      <c r="B14" s="143"/>
      <c r="C14" s="2"/>
      <c r="D14" s="2"/>
      <c r="E14" s="2"/>
      <c r="G14" s="6" t="s">
        <v>128</v>
      </c>
      <c r="H14" s="182"/>
      <c r="I14" s="6">
        <f>H14*2</f>
        <v>0</v>
      </c>
      <c r="J14" s="6">
        <f>H14*0.1</f>
        <v>0</v>
      </c>
      <c r="K14" s="2">
        <f>H14*0.58</f>
        <v>0</v>
      </c>
    </row>
    <row r="15" spans="1:22" ht="17.25" customHeight="1" x14ac:dyDescent="0.35">
      <c r="A15" s="89" t="s">
        <v>119</v>
      </c>
      <c r="B15" s="146"/>
      <c r="C15" s="87"/>
      <c r="D15" s="87"/>
      <c r="E15" s="88"/>
      <c r="G15" s="6" t="s">
        <v>185</v>
      </c>
      <c r="H15" s="182"/>
      <c r="I15" s="6">
        <f>H15*2.448</f>
        <v>0</v>
      </c>
      <c r="J15" s="6">
        <f>H15*0.096</f>
        <v>0</v>
      </c>
      <c r="K15" s="2">
        <f>H15*0.62</f>
        <v>0</v>
      </c>
    </row>
    <row r="16" spans="1:22" ht="17.25" customHeight="1" x14ac:dyDescent="0.25">
      <c r="A16" s="13" t="s">
        <v>122</v>
      </c>
      <c r="B16" s="142"/>
      <c r="C16" s="13">
        <f>B16*1.5</f>
        <v>0</v>
      </c>
      <c r="D16" s="13">
        <f>B16*0.04</f>
        <v>0</v>
      </c>
      <c r="E16" s="13">
        <f>B16*0.75</f>
        <v>0</v>
      </c>
      <c r="G16" s="6" t="s">
        <v>89</v>
      </c>
      <c r="H16" s="183"/>
      <c r="I16" s="6">
        <f>H16*0.87</f>
        <v>0</v>
      </c>
      <c r="J16" s="6">
        <f>H16*0.025</f>
        <v>0</v>
      </c>
      <c r="K16" s="2">
        <f>H16*0.8</f>
        <v>0</v>
      </c>
    </row>
    <row r="17" spans="1:21" ht="17.25" customHeight="1" x14ac:dyDescent="0.25">
      <c r="A17" s="149" t="s">
        <v>163</v>
      </c>
      <c r="B17" s="142"/>
      <c r="C17" s="13">
        <f>B17*1.5</f>
        <v>0</v>
      </c>
      <c r="D17" s="13">
        <f>B17*0.04</f>
        <v>0</v>
      </c>
      <c r="E17" s="13">
        <f>B17*0.76</f>
        <v>0</v>
      </c>
      <c r="G17" s="6" t="s">
        <v>123</v>
      </c>
      <c r="H17" s="183"/>
      <c r="I17" s="6">
        <f>H17*0.86</f>
        <v>0</v>
      </c>
      <c r="J17" s="6">
        <f>H17*0.025</f>
        <v>0</v>
      </c>
      <c r="K17" s="2">
        <f>H17*0.8</f>
        <v>0</v>
      </c>
    </row>
    <row r="18" spans="1:21" ht="17.25" customHeight="1" x14ac:dyDescent="0.25">
      <c r="A18" s="6" t="s">
        <v>37</v>
      </c>
      <c r="B18" s="142"/>
      <c r="C18" s="2">
        <f>B18*1.5</f>
        <v>0</v>
      </c>
      <c r="D18" s="2">
        <f>B18*0.04</f>
        <v>0</v>
      </c>
      <c r="E18" s="2">
        <f>B18*0.75</f>
        <v>0</v>
      </c>
      <c r="G18" s="6" t="s">
        <v>168</v>
      </c>
      <c r="H18" s="182"/>
      <c r="I18" s="6">
        <f>H18*0.5</f>
        <v>0</v>
      </c>
      <c r="J18" s="6">
        <f>H18*0</f>
        <v>0</v>
      </c>
      <c r="K18" s="2">
        <f>H18*0.92</f>
        <v>0</v>
      </c>
    </row>
    <row r="19" spans="1:21" ht="17.25" customHeight="1" x14ac:dyDescent="0.25">
      <c r="G19" s="6" t="s">
        <v>182</v>
      </c>
      <c r="H19" s="182"/>
      <c r="I19" s="6">
        <f>H19*1.5</f>
        <v>0</v>
      </c>
      <c r="J19" s="6">
        <f>H19*0.06</f>
        <v>0</v>
      </c>
      <c r="K19" s="6">
        <f>H19*0.78</f>
        <v>0</v>
      </c>
    </row>
    <row r="20" spans="1:21" ht="17.25" customHeight="1" x14ac:dyDescent="0.25"/>
    <row r="21" spans="1:21" ht="17.25" customHeight="1" thickBot="1" x14ac:dyDescent="0.3"/>
    <row r="22" spans="1:21" ht="17.25" customHeight="1" x14ac:dyDescent="0.35">
      <c r="A22" s="48" t="s">
        <v>69</v>
      </c>
      <c r="B22" s="127"/>
      <c r="C22" s="124">
        <f>CEILING(SUM(C6:C14,C16:C18,I6:I19,I23:I30),1)</f>
        <v>0</v>
      </c>
      <c r="D22" s="51" t="s">
        <v>23</v>
      </c>
      <c r="E22" s="7"/>
      <c r="G22" s="89" t="s">
        <v>41</v>
      </c>
      <c r="H22" s="181" t="s">
        <v>264</v>
      </c>
      <c r="I22" s="86" t="s">
        <v>97</v>
      </c>
      <c r="J22" s="86" t="s">
        <v>25</v>
      </c>
      <c r="K22" s="86" t="s">
        <v>64</v>
      </c>
    </row>
    <row r="23" spans="1:21" ht="17.25" customHeight="1" x14ac:dyDescent="0.35">
      <c r="A23" s="49" t="s">
        <v>70</v>
      </c>
      <c r="B23" s="128"/>
      <c r="C23" s="125">
        <f>CEILING(SUM(D6:D13,D16:D18,J6:J19,J23:J30),1)</f>
        <v>0</v>
      </c>
      <c r="D23" s="52" t="s">
        <v>44</v>
      </c>
      <c r="E23" s="7"/>
      <c r="G23" s="6" t="s">
        <v>169</v>
      </c>
      <c r="H23" s="184"/>
      <c r="I23" s="2">
        <f>H23*5</f>
        <v>0</v>
      </c>
      <c r="J23" s="2">
        <v>0</v>
      </c>
      <c r="K23" s="144">
        <f>H23*0.4</f>
        <v>0</v>
      </c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s="7" customFormat="1" ht="17.25" customHeight="1" thickBot="1" x14ac:dyDescent="0.4">
      <c r="A24" s="50" t="s">
        <v>71</v>
      </c>
      <c r="B24" s="129"/>
      <c r="C24" s="126">
        <f>CEILING(SUM(E6:E13,E16:E18,K6:K19,K23:K30),1)</f>
        <v>0</v>
      </c>
      <c r="D24" s="53" t="s">
        <v>2</v>
      </c>
      <c r="E24"/>
      <c r="G24" s="6" t="s">
        <v>186</v>
      </c>
      <c r="H24" s="184"/>
      <c r="I24" s="2">
        <f>H24*2.47</f>
        <v>0</v>
      </c>
      <c r="J24" s="2">
        <f>H24*0</f>
        <v>0</v>
      </c>
      <c r="K24" s="144">
        <f>H24*0.62</f>
        <v>0</v>
      </c>
      <c r="L24"/>
      <c r="M24"/>
      <c r="N24"/>
      <c r="O24"/>
      <c r="P24"/>
      <c r="Q24"/>
      <c r="R24"/>
      <c r="S24"/>
      <c r="T24"/>
      <c r="U24"/>
    </row>
    <row r="25" spans="1:21" ht="17.25" customHeight="1" x14ac:dyDescent="0.25">
      <c r="G25" s="6" t="s">
        <v>149</v>
      </c>
      <c r="H25" s="184"/>
      <c r="I25" s="2">
        <f>H25*2.4</f>
        <v>0</v>
      </c>
      <c r="J25" s="2">
        <v>0</v>
      </c>
      <c r="K25" s="2">
        <f>H25*0.62</f>
        <v>0</v>
      </c>
    </row>
    <row r="26" spans="1:21" ht="17.25" customHeight="1" x14ac:dyDescent="0.25">
      <c r="G26" s="6" t="s">
        <v>148</v>
      </c>
      <c r="H26" s="184"/>
      <c r="I26" s="2">
        <f>H26*3.8</f>
        <v>0</v>
      </c>
      <c r="J26" s="2">
        <v>0</v>
      </c>
      <c r="K26" s="2">
        <v>0</v>
      </c>
    </row>
    <row r="27" spans="1:21" ht="17.25" customHeight="1" x14ac:dyDescent="0.25">
      <c r="G27" s="6" t="s">
        <v>117</v>
      </c>
      <c r="H27" s="184"/>
      <c r="I27" s="2">
        <f>H27*3.6</f>
        <v>0</v>
      </c>
      <c r="J27" s="2">
        <f>H27*0.88</f>
        <v>0</v>
      </c>
      <c r="K27" s="55">
        <v>0</v>
      </c>
    </row>
    <row r="28" spans="1:21" ht="17.25" customHeight="1" x14ac:dyDescent="0.25">
      <c r="G28" s="6" t="s">
        <v>150</v>
      </c>
      <c r="H28" s="184"/>
      <c r="I28" s="2">
        <f>H28*4.6</f>
        <v>0</v>
      </c>
      <c r="J28" s="2">
        <f>H28*0.181</f>
        <v>0</v>
      </c>
      <c r="K28" s="2">
        <v>0</v>
      </c>
    </row>
    <row r="29" spans="1:21" ht="17.25" customHeight="1" x14ac:dyDescent="0.25">
      <c r="G29" s="2" t="s">
        <v>42</v>
      </c>
      <c r="H29" s="185"/>
      <c r="I29" s="2">
        <f>H29*4.5</f>
        <v>0</v>
      </c>
      <c r="J29" s="2">
        <v>0</v>
      </c>
      <c r="K29" s="55">
        <f>H29*0.46</f>
        <v>0</v>
      </c>
    </row>
    <row r="30" spans="1:21" ht="17.25" customHeight="1" x14ac:dyDescent="0.25">
      <c r="G30" s="2" t="s">
        <v>43</v>
      </c>
      <c r="H30" s="185"/>
      <c r="I30" s="2">
        <f>H30*8.55</f>
        <v>0</v>
      </c>
      <c r="J30" s="2">
        <v>0</v>
      </c>
      <c r="K30" s="55">
        <v>0</v>
      </c>
    </row>
    <row r="31" spans="1:21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</sheetData>
  <sheetProtection algorithmName="SHA-512" hashValue="TLhDq6NCwvbmu80F7dAr5l6EJrNLjc+PBILdlW+tAz7LcH29FtOcK/LZEv0a4w6w8d0SYPddhEvviGbnzO3Taw==" saltValue="czwikiZyny8d0c+1PWucQw==" spinCount="100000" sheet="1" selectLockedCells="1"/>
  <phoneticPr fontId="3" type="noConversion"/>
  <pageMargins left="0.75" right="0.75" top="1" bottom="1" header="0.5" footer="0.5"/>
  <pageSetup paperSize="9" scale="58" orientation="landscape" r:id="rId1"/>
  <headerFooter alignWithMargins="0">
    <oddFooter>&amp;LOriginalidé: Hans Larsson, ssk på hematologen 4, SUS Lund</oddFooter>
  </headerFooter>
  <ignoredErrors>
    <ignoredError sqref="J9 I10 D11 E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</sheetPr>
  <dimension ref="A1:F28"/>
  <sheetViews>
    <sheetView zoomScaleNormal="100" zoomScaleSheetLayoutView="100" workbookViewId="0">
      <selection activeCell="B6" sqref="B6"/>
    </sheetView>
  </sheetViews>
  <sheetFormatPr defaultRowHeight="12.5" x14ac:dyDescent="0.25"/>
  <cols>
    <col min="1" max="1" width="26.6328125" customWidth="1"/>
    <col min="3" max="3" width="7.6328125" customWidth="1"/>
    <col min="4" max="4" width="8.54296875" customWidth="1"/>
    <col min="5" max="5" width="8.08984375" customWidth="1"/>
    <col min="6" max="6" width="18.36328125" customWidth="1"/>
  </cols>
  <sheetData>
    <row r="1" spans="1:6" ht="15.5" x14ac:dyDescent="0.35">
      <c r="A1" s="14" t="s">
        <v>10</v>
      </c>
      <c r="B1" s="14"/>
      <c r="C1" s="15"/>
      <c r="D1" s="32"/>
    </row>
    <row r="2" spans="1:6" ht="15.5" x14ac:dyDescent="0.35">
      <c r="A2" s="14" t="s">
        <v>35</v>
      </c>
      <c r="B2" s="14"/>
      <c r="C2" s="15"/>
      <c r="D2" s="32"/>
    </row>
    <row r="5" spans="1:6" s="1" customFormat="1" ht="17.25" customHeight="1" x14ac:dyDescent="0.35">
      <c r="A5" s="91" t="s">
        <v>19</v>
      </c>
      <c r="B5" s="92" t="s">
        <v>2</v>
      </c>
      <c r="C5" s="92" t="s">
        <v>97</v>
      </c>
      <c r="D5" s="92" t="s">
        <v>25</v>
      </c>
      <c r="E5" s="92" t="s">
        <v>64</v>
      </c>
    </row>
    <row r="6" spans="1:6" s="1" customFormat="1" ht="17.25" customHeight="1" x14ac:dyDescent="0.3">
      <c r="A6" s="13" t="s">
        <v>262</v>
      </c>
      <c r="B6" s="134"/>
      <c r="C6" s="13">
        <f>B6*1.1</f>
        <v>0</v>
      </c>
      <c r="D6" s="13">
        <f>B6*0.044</f>
        <v>0</v>
      </c>
      <c r="E6" s="46">
        <f>B6*0.84</f>
        <v>0</v>
      </c>
    </row>
    <row r="7" spans="1:6" ht="17.25" customHeight="1" x14ac:dyDescent="0.25">
      <c r="A7" s="6" t="s">
        <v>36</v>
      </c>
      <c r="B7" s="135"/>
      <c r="C7" s="2">
        <f>B7*1</f>
        <v>0</v>
      </c>
      <c r="D7" s="2">
        <f>B7*0.039</f>
        <v>0</v>
      </c>
      <c r="E7" s="4">
        <f>B7*0.86</f>
        <v>0</v>
      </c>
    </row>
    <row r="8" spans="1:6" ht="17.25" customHeight="1" x14ac:dyDescent="0.25">
      <c r="A8" s="6" t="s">
        <v>255</v>
      </c>
      <c r="B8" s="135"/>
      <c r="C8" s="2">
        <f>B8*1.03</f>
        <v>0</v>
      </c>
      <c r="D8" s="2">
        <f>B8*0.04</f>
        <v>0</v>
      </c>
      <c r="E8" s="4">
        <f>B8*0.84</f>
        <v>0</v>
      </c>
    </row>
    <row r="9" spans="1:6" ht="17.25" customHeight="1" x14ac:dyDescent="0.25">
      <c r="A9" s="2" t="s">
        <v>18</v>
      </c>
      <c r="B9" s="135"/>
      <c r="C9" s="2">
        <f>B9*1.3</f>
        <v>0</v>
      </c>
      <c r="D9" s="2">
        <f>B9*0.067</f>
        <v>0</v>
      </c>
      <c r="E9" s="4">
        <f>B9*0.81</f>
        <v>0</v>
      </c>
    </row>
    <row r="10" spans="1:6" ht="17.25" customHeight="1" x14ac:dyDescent="0.25">
      <c r="A10" s="2" t="s">
        <v>124</v>
      </c>
      <c r="B10" s="135"/>
      <c r="C10" s="2">
        <f>B10*1.33</f>
        <v>0</v>
      </c>
      <c r="D10" s="2">
        <f>B10*0.067</f>
        <v>0</v>
      </c>
      <c r="E10" s="4">
        <f>B10*0.79</f>
        <v>0</v>
      </c>
    </row>
    <row r="11" spans="1:6" ht="17.25" customHeight="1" x14ac:dyDescent="0.25">
      <c r="A11" s="2" t="s">
        <v>61</v>
      </c>
      <c r="B11" s="135"/>
      <c r="C11" s="2">
        <f>B11*1.28</f>
        <v>0</v>
      </c>
      <c r="D11" s="2">
        <f>B11*0.063</f>
        <v>0</v>
      </c>
      <c r="E11" s="4">
        <f>B11*0.8</f>
        <v>0</v>
      </c>
      <c r="F11" s="7"/>
    </row>
    <row r="12" spans="1:6" ht="17.25" customHeight="1" x14ac:dyDescent="0.25">
      <c r="A12" s="2" t="s">
        <v>256</v>
      </c>
      <c r="B12" s="135"/>
      <c r="C12" s="2">
        <f>B12*1.5</f>
        <v>0</v>
      </c>
      <c r="D12" s="2">
        <f>B12*0.06</f>
        <v>0</v>
      </c>
      <c r="E12" s="4">
        <f>B12*0.78</f>
        <v>0</v>
      </c>
    </row>
    <row r="13" spans="1:6" ht="17.25" customHeight="1" x14ac:dyDescent="0.25">
      <c r="A13" s="2" t="s">
        <v>257</v>
      </c>
      <c r="B13" s="135"/>
      <c r="C13" s="2">
        <f>B13*1.53</f>
        <v>0</v>
      </c>
      <c r="D13" s="2">
        <f>B13*0.06</f>
        <v>0</v>
      </c>
      <c r="E13" s="4">
        <f>B13*0.76</f>
        <v>0</v>
      </c>
    </row>
    <row r="14" spans="1:6" ht="17.25" customHeight="1" x14ac:dyDescent="0.25">
      <c r="A14" s="2" t="s">
        <v>62</v>
      </c>
      <c r="B14" s="135"/>
      <c r="C14" s="2">
        <f>B14*1</f>
        <v>0</v>
      </c>
      <c r="D14" s="2">
        <f>B14*0.055</f>
        <v>0</v>
      </c>
      <c r="E14" s="4">
        <f>B14*0.83</f>
        <v>0</v>
      </c>
    </row>
    <row r="15" spans="1:6" ht="17.25" customHeight="1" x14ac:dyDescent="0.25">
      <c r="A15" s="2" t="s">
        <v>63</v>
      </c>
      <c r="B15" s="135"/>
      <c r="C15" s="2">
        <f>B15*1.2</f>
        <v>0</v>
      </c>
      <c r="D15" s="2">
        <f>B15*0.06</f>
        <v>0</v>
      </c>
      <c r="E15" s="4">
        <f>B15*0.8</f>
        <v>0</v>
      </c>
    </row>
    <row r="16" spans="1:6" ht="17.25" customHeight="1" x14ac:dyDescent="0.25">
      <c r="A16" s="2" t="s">
        <v>115</v>
      </c>
      <c r="B16" s="135"/>
      <c r="C16" s="2">
        <f>B16*2</f>
        <v>0</v>
      </c>
      <c r="D16" s="2">
        <f>B16*0.1</f>
        <v>0</v>
      </c>
      <c r="E16" s="4">
        <f>B16*0.68</f>
        <v>0</v>
      </c>
    </row>
    <row r="17" spans="1:6" ht="17.25" customHeight="1" x14ac:dyDescent="0.25">
      <c r="A17" s="2" t="s">
        <v>258</v>
      </c>
      <c r="B17" s="135"/>
      <c r="C17" s="2">
        <f>B17*2</f>
        <v>0</v>
      </c>
      <c r="D17" s="2">
        <f>B17*1</f>
        <v>0</v>
      </c>
      <c r="E17" s="4">
        <f>B17*0.69</f>
        <v>0</v>
      </c>
    </row>
    <row r="18" spans="1:6" ht="17.25" customHeight="1" x14ac:dyDescent="0.25">
      <c r="A18" s="2" t="s">
        <v>259</v>
      </c>
      <c r="B18" s="135"/>
      <c r="C18" s="2">
        <f>B18*1.5</f>
        <v>0</v>
      </c>
      <c r="D18" s="2">
        <f>B18*0.077</f>
        <v>0</v>
      </c>
      <c r="E18" s="4">
        <f>B18*0.77</f>
        <v>0</v>
      </c>
    </row>
    <row r="19" spans="1:6" ht="17.25" customHeight="1" x14ac:dyDescent="0.25">
      <c r="A19" s="2" t="s">
        <v>24</v>
      </c>
      <c r="B19" s="135"/>
      <c r="C19" s="2">
        <f>B19*1</f>
        <v>0</v>
      </c>
      <c r="D19" s="2">
        <f>B19*0.045</f>
        <v>0</v>
      </c>
      <c r="E19" s="4">
        <f>B19*0.85</f>
        <v>0</v>
      </c>
      <c r="F19" s="7"/>
    </row>
    <row r="20" spans="1:6" ht="17.25" customHeight="1" x14ac:dyDescent="0.25">
      <c r="A20" s="3" t="s">
        <v>261</v>
      </c>
      <c r="B20" s="136"/>
      <c r="C20" s="2">
        <f>B20*1.33</f>
        <v>0</v>
      </c>
      <c r="D20" s="2">
        <f>B20*0.067</f>
        <v>0</v>
      </c>
      <c r="E20" s="4">
        <f>B20*0.8</f>
        <v>0</v>
      </c>
      <c r="F20" s="7"/>
    </row>
    <row r="21" spans="1:6" ht="17.25" customHeight="1" x14ac:dyDescent="0.25">
      <c r="A21" s="2" t="s">
        <v>260</v>
      </c>
      <c r="B21" s="135"/>
      <c r="C21" s="2">
        <f>B21*1.5</f>
        <v>0</v>
      </c>
      <c r="D21" s="2">
        <f>B21*0.075</f>
        <v>0</v>
      </c>
      <c r="E21" s="4">
        <f>B21*0.86</f>
        <v>0</v>
      </c>
    </row>
    <row r="23" spans="1:6" ht="13" thickBot="1" x14ac:dyDescent="0.3"/>
    <row r="24" spans="1:6" ht="19.5" customHeight="1" x14ac:dyDescent="0.35">
      <c r="A24" s="24"/>
      <c r="B24" s="25" t="s">
        <v>65</v>
      </c>
      <c r="C24" s="25">
        <f>CEILING(SUM(C6:C21),1)</f>
        <v>0</v>
      </c>
      <c r="D24" s="26" t="s">
        <v>23</v>
      </c>
      <c r="E24" s="22"/>
    </row>
    <row r="25" spans="1:6" ht="19.5" customHeight="1" x14ac:dyDescent="0.35">
      <c r="A25" s="27"/>
      <c r="B25" s="23" t="s">
        <v>66</v>
      </c>
      <c r="C25" s="23">
        <f>CEILING(SUM(D6:D21),1)</f>
        <v>0</v>
      </c>
      <c r="D25" s="28" t="s">
        <v>44</v>
      </c>
      <c r="E25" s="22"/>
    </row>
    <row r="26" spans="1:6" ht="19.5" customHeight="1" thickBot="1" x14ac:dyDescent="0.4">
      <c r="A26" s="29"/>
      <c r="B26" s="30" t="s">
        <v>67</v>
      </c>
      <c r="C26" s="30">
        <f>CEILING(SUM(E6:E21),1)</f>
        <v>0</v>
      </c>
      <c r="D26" s="31" t="s">
        <v>2</v>
      </c>
      <c r="E26" s="22"/>
    </row>
    <row r="28" spans="1:6" x14ac:dyDescent="0.25">
      <c r="B28" s="5"/>
    </row>
  </sheetData>
  <sheetProtection algorithmName="SHA-512" hashValue="0jWuh8ja1asjHhb7jAW/QrEUy3dl7ArB90/8KN90UjwEllo0y+ykPLG/pxli62Rg4zp2WxEFP2ZlMQUDZYw76g==" saltValue="/yR9PcCGvpk6a6dJfvNRWQ==" spinCount="100000" sheet="1" selectLockedCells="1"/>
  <phoneticPr fontId="3" type="noConversion"/>
  <pageMargins left="0.75" right="0.75" top="1" bottom="1" header="0.5" footer="0.5"/>
  <pageSetup paperSize="9" scale="95" orientation="landscape" horizontalDpi="300" verticalDpi="300" r:id="rId1"/>
  <headerFooter alignWithMargins="0">
    <oddFooter>&amp;LOriginalidé: Hans Larsson, ssk på hematologen 4, SUS Lund</oddFooter>
  </headerFooter>
  <ignoredErrors>
    <ignoredError sqref="E15 D14 E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3"/>
  </sheetPr>
  <dimension ref="A1:O49"/>
  <sheetViews>
    <sheetView topLeftCell="A4" zoomScaleNormal="100" zoomScaleSheetLayoutView="100" workbookViewId="0">
      <selection activeCell="B7" sqref="B7"/>
    </sheetView>
  </sheetViews>
  <sheetFormatPr defaultRowHeight="12.5" x14ac:dyDescent="0.25"/>
  <cols>
    <col min="1" max="1" width="30.54296875" customWidth="1"/>
    <col min="2" max="2" width="9.90625" customWidth="1"/>
    <col min="4" max="4" width="8.54296875" customWidth="1"/>
    <col min="5" max="5" width="8.36328125" customWidth="1"/>
    <col min="6" max="6" width="17" hidden="1" customWidth="1"/>
    <col min="7" max="7" width="24.90625" hidden="1" customWidth="1"/>
    <col min="8" max="8" width="16.54296875" hidden="1" customWidth="1"/>
    <col min="9" max="9" width="15.453125" hidden="1" customWidth="1"/>
    <col min="10" max="10" width="12.6328125" hidden="1" customWidth="1"/>
    <col min="11" max="11" width="12.36328125" hidden="1" customWidth="1"/>
    <col min="12" max="12" width="3.36328125" customWidth="1"/>
    <col min="13" max="13" width="27.54296875" customWidth="1"/>
    <col min="14" max="14" width="8.453125" customWidth="1"/>
    <col min="15" max="15" width="7.08984375" customWidth="1"/>
    <col min="16" max="16" width="8.54296875" customWidth="1"/>
  </cols>
  <sheetData>
    <row r="1" spans="1:15" ht="15.5" x14ac:dyDescent="0.35">
      <c r="A1" s="10" t="s">
        <v>10</v>
      </c>
      <c r="B1" s="10"/>
      <c r="C1" s="11"/>
    </row>
    <row r="2" spans="1:15" ht="15.5" x14ac:dyDescent="0.35">
      <c r="A2" s="10" t="s">
        <v>34</v>
      </c>
      <c r="B2" s="10"/>
      <c r="C2" s="11"/>
    </row>
    <row r="5" spans="1:15" ht="17.25" customHeight="1" x14ac:dyDescent="0.35">
      <c r="A5" s="90" t="s">
        <v>94</v>
      </c>
      <c r="B5" s="186" t="s">
        <v>2</v>
      </c>
      <c r="C5" s="186" t="s">
        <v>97</v>
      </c>
      <c r="D5" s="186" t="s">
        <v>25</v>
      </c>
      <c r="F5" s="18" t="s">
        <v>20</v>
      </c>
      <c r="G5" s="18" t="s">
        <v>45</v>
      </c>
      <c r="H5" s="19" t="s">
        <v>21</v>
      </c>
      <c r="I5" s="19" t="s">
        <v>46</v>
      </c>
      <c r="J5" s="19" t="s">
        <v>26</v>
      </c>
      <c r="K5" s="19" t="s">
        <v>47</v>
      </c>
      <c r="M5" s="90" t="s">
        <v>95</v>
      </c>
      <c r="N5" s="186" t="s">
        <v>2</v>
      </c>
    </row>
    <row r="6" spans="1:15" ht="17.25" customHeight="1" x14ac:dyDescent="0.25">
      <c r="A6" s="4" t="s">
        <v>21</v>
      </c>
      <c r="B6" s="139"/>
      <c r="C6" s="12">
        <f>B6*1.108</f>
        <v>0</v>
      </c>
      <c r="D6" s="2">
        <f>B6*0.051</f>
        <v>0</v>
      </c>
      <c r="F6" s="5">
        <v>1026</v>
      </c>
      <c r="G6">
        <v>1440</v>
      </c>
      <c r="H6">
        <v>493</v>
      </c>
      <c r="I6">
        <v>1206</v>
      </c>
      <c r="J6">
        <v>1000</v>
      </c>
      <c r="K6">
        <v>1000</v>
      </c>
      <c r="M6" s="13" t="s">
        <v>11</v>
      </c>
      <c r="N6" s="137"/>
    </row>
    <row r="7" spans="1:15" ht="17.25" customHeight="1" x14ac:dyDescent="0.25">
      <c r="A7" s="4" t="s">
        <v>22</v>
      </c>
      <c r="B7" s="138"/>
      <c r="C7" s="12">
        <f>B7*0.67</f>
        <v>0</v>
      </c>
      <c r="D7" s="2">
        <f>B7*0.032</f>
        <v>0</v>
      </c>
      <c r="F7" s="5">
        <v>1540</v>
      </c>
      <c r="G7" s="5">
        <v>1920</v>
      </c>
      <c r="H7">
        <v>986</v>
      </c>
      <c r="I7">
        <v>1448</v>
      </c>
      <c r="K7">
        <v>1500</v>
      </c>
      <c r="M7" s="2" t="s">
        <v>12</v>
      </c>
      <c r="N7" s="138"/>
    </row>
    <row r="8" spans="1:15" ht="17.25" customHeight="1" x14ac:dyDescent="0.25">
      <c r="A8" s="4" t="s">
        <v>26</v>
      </c>
      <c r="B8" s="138"/>
      <c r="C8" s="12">
        <f>B8*1.07</f>
        <v>0</v>
      </c>
      <c r="D8" s="2">
        <f>B8*0.057</f>
        <v>0</v>
      </c>
      <c r="F8">
        <v>2053</v>
      </c>
      <c r="G8" s="5">
        <v>2400</v>
      </c>
      <c r="H8">
        <v>1477</v>
      </c>
      <c r="I8">
        <v>1904</v>
      </c>
      <c r="K8">
        <v>2000</v>
      </c>
      <c r="M8" s="2" t="s">
        <v>13</v>
      </c>
      <c r="N8" s="138"/>
    </row>
    <row r="9" spans="1:15" ht="17.25" customHeight="1" x14ac:dyDescent="0.25">
      <c r="A9" s="4" t="s">
        <v>27</v>
      </c>
      <c r="B9" s="138"/>
      <c r="C9" s="12">
        <f>B9*1.138</f>
        <v>0</v>
      </c>
      <c r="D9" s="2">
        <f>B9*0.044</f>
        <v>0</v>
      </c>
      <c r="F9">
        <v>2566</v>
      </c>
      <c r="H9">
        <v>1970</v>
      </c>
      <c r="K9">
        <v>2500</v>
      </c>
      <c r="M9" s="2" t="s">
        <v>15</v>
      </c>
      <c r="N9" s="138"/>
    </row>
    <row r="10" spans="1:15" ht="17.25" customHeight="1" x14ac:dyDescent="0.25">
      <c r="A10" s="4" t="s">
        <v>28</v>
      </c>
      <c r="B10" s="138"/>
      <c r="C10" s="12">
        <f>B10*0.99</f>
        <v>0</v>
      </c>
      <c r="D10" s="2">
        <f>B10*0.033</f>
        <v>0</v>
      </c>
      <c r="F10" s="5"/>
      <c r="H10">
        <v>2463</v>
      </c>
      <c r="M10" s="2" t="s">
        <v>16</v>
      </c>
      <c r="N10" s="138"/>
    </row>
    <row r="11" spans="1:15" ht="17.25" customHeight="1" x14ac:dyDescent="0.25">
      <c r="A11" s="4" t="s">
        <v>29</v>
      </c>
      <c r="B11" s="138"/>
      <c r="C11" s="12">
        <f>B11*0.7</f>
        <v>0</v>
      </c>
      <c r="D11" s="2">
        <f>B11*0.025</f>
        <v>0</v>
      </c>
      <c r="F11" s="5"/>
      <c r="G11" s="5"/>
      <c r="M11" s="2" t="s">
        <v>14</v>
      </c>
      <c r="N11" s="138"/>
    </row>
    <row r="12" spans="1:15" ht="17.25" customHeight="1" x14ac:dyDescent="0.25">
      <c r="A12" s="2" t="s">
        <v>30</v>
      </c>
      <c r="B12" s="138"/>
      <c r="C12" s="2">
        <f>B12*0.764</f>
        <v>0</v>
      </c>
      <c r="D12" s="2">
        <f>B12*0.032</f>
        <v>0</v>
      </c>
      <c r="F12" s="5" t="s">
        <v>48</v>
      </c>
      <c r="G12" s="5" t="s">
        <v>49</v>
      </c>
      <c r="M12" s="2" t="s">
        <v>17</v>
      </c>
      <c r="N12" s="138"/>
    </row>
    <row r="13" spans="1:15" ht="17.25" customHeight="1" x14ac:dyDescent="0.25">
      <c r="A13" s="2" t="s">
        <v>31</v>
      </c>
      <c r="B13" s="138"/>
      <c r="C13" s="2">
        <f>B13*1.01</f>
        <v>0</v>
      </c>
      <c r="D13" s="2">
        <f>B13*0.038</f>
        <v>0</v>
      </c>
      <c r="F13" s="5">
        <v>1250</v>
      </c>
      <c r="G13" s="5">
        <v>625</v>
      </c>
    </row>
    <row r="14" spans="1:15" ht="17.25" customHeight="1" x14ac:dyDescent="0.25">
      <c r="A14" s="2" t="s">
        <v>32</v>
      </c>
      <c r="B14" s="138"/>
      <c r="C14" s="2">
        <f>B14*1.18</f>
        <v>0</v>
      </c>
      <c r="D14" s="2">
        <f>B14*0.056</f>
        <v>0</v>
      </c>
      <c r="F14">
        <v>1875</v>
      </c>
      <c r="G14">
        <v>1250</v>
      </c>
    </row>
    <row r="15" spans="1:15" ht="17.25" customHeight="1" x14ac:dyDescent="0.35">
      <c r="A15" s="2" t="s">
        <v>33</v>
      </c>
      <c r="B15" s="138"/>
      <c r="C15" s="2">
        <f>B15*1.18</f>
        <v>0</v>
      </c>
      <c r="D15" s="2">
        <f>B15*0.058</f>
        <v>0</v>
      </c>
      <c r="F15">
        <v>2500</v>
      </c>
      <c r="G15">
        <v>1875</v>
      </c>
      <c r="M15" s="9"/>
      <c r="N15" s="9"/>
    </row>
    <row r="16" spans="1:15" ht="17.25" customHeight="1" x14ac:dyDescent="0.35">
      <c r="A16" s="2" t="s">
        <v>50</v>
      </c>
      <c r="B16" s="138"/>
      <c r="C16" s="12">
        <f>B16*0.1</f>
        <v>0</v>
      </c>
      <c r="D16" s="2">
        <v>0</v>
      </c>
      <c r="M16" s="9"/>
      <c r="N16" s="9"/>
      <c r="O16" s="35"/>
    </row>
    <row r="17" spans="1:15" ht="17.25" customHeight="1" x14ac:dyDescent="0.35">
      <c r="A17" s="2" t="s">
        <v>0</v>
      </c>
      <c r="B17" s="138"/>
      <c r="C17" s="12">
        <f>B17*0.2</f>
        <v>0</v>
      </c>
      <c r="D17" s="2">
        <v>0</v>
      </c>
      <c r="M17" s="9"/>
      <c r="N17" s="9"/>
      <c r="O17" s="35"/>
    </row>
    <row r="18" spans="1:15" ht="17.25" customHeight="1" x14ac:dyDescent="0.35">
      <c r="A18" s="2" t="s">
        <v>1</v>
      </c>
      <c r="B18" s="138"/>
      <c r="C18" s="2">
        <f>B18*0.4</f>
        <v>0</v>
      </c>
      <c r="D18" s="2">
        <v>0</v>
      </c>
      <c r="F18" s="5"/>
      <c r="G18" s="5"/>
      <c r="O18" s="35"/>
    </row>
    <row r="19" spans="1:15" ht="17.25" customHeight="1" x14ac:dyDescent="0.25">
      <c r="B19" s="5"/>
      <c r="C19" s="5"/>
      <c r="F19" s="5"/>
      <c r="G19" s="5"/>
    </row>
    <row r="20" spans="1:15" ht="17.25" customHeight="1" thickBot="1" x14ac:dyDescent="0.3">
      <c r="B20" s="5"/>
      <c r="C20" s="5"/>
      <c r="F20" s="5"/>
      <c r="G20" s="5"/>
    </row>
    <row r="21" spans="1:15" ht="15.5" x14ac:dyDescent="0.35">
      <c r="A21" s="36"/>
      <c r="B21" s="57"/>
      <c r="C21" s="37" t="s">
        <v>98</v>
      </c>
      <c r="D21" s="37">
        <f>CEILING(SUM(C6:C18),1)</f>
        <v>0</v>
      </c>
      <c r="E21" s="38" t="s">
        <v>23</v>
      </c>
    </row>
    <row r="22" spans="1:15" ht="15.5" x14ac:dyDescent="0.35">
      <c r="A22" s="39"/>
      <c r="B22" s="56"/>
      <c r="C22" s="40" t="s">
        <v>99</v>
      </c>
      <c r="D22" s="40">
        <f>CEILING(SUM(D6:D18),1)</f>
        <v>0</v>
      </c>
      <c r="E22" s="41" t="s">
        <v>44</v>
      </c>
    </row>
    <row r="23" spans="1:15" ht="19.5" customHeight="1" thickBot="1" x14ac:dyDescent="0.4">
      <c r="A23" s="42"/>
      <c r="B23" s="58"/>
      <c r="C23" s="43" t="s">
        <v>100</v>
      </c>
      <c r="D23" s="45">
        <f>CEILING(SUM(B6:B18,N6:N12),1)</f>
        <v>0</v>
      </c>
      <c r="E23" s="44" t="s">
        <v>2</v>
      </c>
    </row>
    <row r="24" spans="1:15" ht="19.5" customHeight="1" x14ac:dyDescent="0.35">
      <c r="A24" s="19"/>
      <c r="B24" s="18"/>
      <c r="C24" s="19"/>
      <c r="D24" s="19"/>
      <c r="F24" s="5"/>
      <c r="M24" s="9"/>
      <c r="N24" s="9"/>
    </row>
    <row r="25" spans="1:15" ht="19.5" customHeight="1" x14ac:dyDescent="0.35">
      <c r="B25" s="5"/>
      <c r="L25" s="9"/>
      <c r="M25" s="9"/>
      <c r="N25" s="9"/>
      <c r="O25" s="33"/>
    </row>
    <row r="26" spans="1:15" ht="17.25" customHeight="1" x14ac:dyDescent="0.35">
      <c r="B26" s="5"/>
      <c r="L26" s="9"/>
      <c r="M26" s="9"/>
      <c r="N26" s="9"/>
      <c r="O26" s="33"/>
    </row>
    <row r="27" spans="1:15" ht="17.25" customHeight="1" x14ac:dyDescent="0.35">
      <c r="B27" s="5"/>
      <c r="L27" s="34"/>
      <c r="O27" s="33"/>
    </row>
    <row r="28" spans="1:15" ht="17.25" customHeight="1" x14ac:dyDescent="0.25">
      <c r="B28" s="5"/>
    </row>
    <row r="29" spans="1:15" ht="17.25" customHeight="1" x14ac:dyDescent="0.25">
      <c r="B29" s="5"/>
    </row>
    <row r="30" spans="1:15" ht="17.25" customHeight="1" x14ac:dyDescent="0.25">
      <c r="B30" s="5"/>
    </row>
    <row r="31" spans="1:15" ht="17.25" customHeight="1" x14ac:dyDescent="0.3">
      <c r="A31" s="20"/>
      <c r="B31" s="5"/>
      <c r="G31" s="5"/>
      <c r="H31" s="5"/>
    </row>
    <row r="32" spans="1:15" ht="17.25" customHeight="1" x14ac:dyDescent="0.25">
      <c r="G32" s="5"/>
      <c r="H32" s="5"/>
    </row>
    <row r="33" spans="7:8" ht="17.25" customHeight="1" x14ac:dyDescent="0.25">
      <c r="G33" s="5"/>
      <c r="H33" s="5"/>
    </row>
    <row r="34" spans="7:8" x14ac:dyDescent="0.25">
      <c r="G34" s="5"/>
      <c r="H34" s="5"/>
    </row>
    <row r="35" spans="7:8" x14ac:dyDescent="0.25">
      <c r="G35" s="5"/>
      <c r="H35" s="5"/>
    </row>
    <row r="37" spans="7:8" x14ac:dyDescent="0.25">
      <c r="G37" s="5"/>
      <c r="H37" s="5"/>
    </row>
    <row r="38" spans="7:8" x14ac:dyDescent="0.25">
      <c r="G38" s="5"/>
      <c r="H38" s="5"/>
    </row>
    <row r="39" spans="7:8" x14ac:dyDescent="0.25">
      <c r="G39" s="5"/>
      <c r="H39" s="5"/>
    </row>
    <row r="41" spans="7:8" x14ac:dyDescent="0.25">
      <c r="G41" s="5"/>
      <c r="H41" s="5"/>
    </row>
    <row r="42" spans="7:8" x14ac:dyDescent="0.25">
      <c r="G42" s="5"/>
      <c r="H42" s="5"/>
    </row>
    <row r="43" spans="7:8" x14ac:dyDescent="0.25">
      <c r="G43" s="5"/>
      <c r="H43" s="5"/>
    </row>
    <row r="44" spans="7:8" x14ac:dyDescent="0.25">
      <c r="G44" s="5"/>
      <c r="H44" s="5"/>
    </row>
    <row r="45" spans="7:8" x14ac:dyDescent="0.25">
      <c r="G45" s="5"/>
      <c r="H45" s="5"/>
    </row>
    <row r="47" spans="7:8" x14ac:dyDescent="0.25">
      <c r="G47" s="5"/>
      <c r="H47" s="5"/>
    </row>
    <row r="48" spans="7:8" x14ac:dyDescent="0.25">
      <c r="G48" s="5"/>
      <c r="H48" s="5"/>
    </row>
    <row r="49" spans="7:8" x14ac:dyDescent="0.25">
      <c r="G49" s="5"/>
      <c r="H49" s="5"/>
    </row>
  </sheetData>
  <sheetProtection algorithmName="SHA-512" hashValue="7v9glS8by/2QvZ8xFMB1gFzgm917G92POR1iy5RP7EcxCYWomY7pefsyVmwASwtkZm4Dm/Bl0h+d9j6/ThNsLQ==" saltValue="PnfQ0G4Jn5KOqZtMqjz0/w==" spinCount="100000" sheet="1" selectLockedCells="1"/>
  <phoneticPr fontId="3" type="noConversion"/>
  <dataValidations count="9">
    <dataValidation type="list" errorStyle="information" allowBlank="1" showInputMessage="1" showErrorMessage="1" errorTitle="Eget värde" error="Mängden du valt motsvarar ej hel påse parenteral nutrition. Önskar du ange hel påse kan du hitta rätt värde i rullistan." sqref="B6" xr:uid="{00000000-0002-0000-0500-000002000000}">
      <formula1>$H$6:$H$10</formula1>
    </dataValidation>
    <dataValidation type="list" errorStyle="information" allowBlank="1" showInputMessage="1" showErrorMessage="1" errorTitle="Eget värde" error="Mängden du valt motsvarar ej hel påse parenteral nutrition. Önskar du ange hel påse kan du hitta rätt värde i rullistan." sqref="B7" xr:uid="{00000000-0002-0000-0500-000003000000}">
      <formula1>$I$6:$I$8</formula1>
    </dataValidation>
    <dataValidation type="list" errorStyle="information" allowBlank="1" showInputMessage="1" showErrorMessage="1" errorTitle="Eget värde" error="Mängden du valt motsvarar ej hel påse parenteral nutrition. Önskar du ange hel påse kan du hitta rätt värde i rullistan." sqref="B8" xr:uid="{00000000-0002-0000-0500-000004000000}">
      <formula1>$J$6</formula1>
    </dataValidation>
    <dataValidation type="list" errorStyle="information" allowBlank="1" showInputMessage="1" showErrorMessage="1" errorTitle="Eget värde" error="Mängden du valt motsvarar ej hel påse parenteral nutrition. Önskar du ange hel påse kan du hitta rätt värde i rullistan." sqref="B9" xr:uid="{00000000-0002-0000-0500-000005000000}">
      <formula1>$K$6:$K$8</formula1>
    </dataValidation>
    <dataValidation type="list" errorStyle="information" allowBlank="1" showInputMessage="1" showErrorMessage="1" errorTitle="Eget värde" error="Mängden du valt motsvarar ej hel påse parenteral nutrition. Önskar du ange hel påse kan du hitta rätt värde i rullistan." sqref="B10" xr:uid="{00000000-0002-0000-0500-000006000000}">
      <formula1>$K$8</formula1>
    </dataValidation>
    <dataValidation type="list" errorStyle="information" allowBlank="1" showInputMessage="1" showErrorMessage="1" errorTitle="Eget värde" error="Mängden du valt motsvarar ej hel påse parenteral nutrition. Önskar du ange hel påse kan du hitta rätt värde i rullistan." sqref="B11" xr:uid="{00000000-0002-0000-0500-000007000000}">
      <formula1>$K$6:$K$9</formula1>
    </dataValidation>
    <dataValidation type="list" errorStyle="information" allowBlank="1" showInputMessage="1" showErrorMessage="1" errorTitle="Eget värde" error="Mängden du valt motsvarar ej hel påse parenteral nutrition. Önskar du ange hel påse kan du hitta rätt värde i rullistan." sqref="B12:B13" xr:uid="{00000000-0002-0000-0500-000008000000}">
      <formula1>$F$13:$F$15</formula1>
    </dataValidation>
    <dataValidation type="list" errorStyle="information" allowBlank="1" showInputMessage="1" showErrorMessage="1" errorTitle="eget värde" error="Mängden du valt motsvarar ej hel påse parenteral nutrition. Önskar du ange hel påse kan du hitta rätt värde i rullistan." sqref="B15" xr:uid="{00000000-0002-0000-0500-000009000000}">
      <formula1>$G$13:$G$15</formula1>
    </dataValidation>
    <dataValidation type="list" errorStyle="information" allowBlank="1" showInputMessage="1" showErrorMessage="1" errorTitle="Eget värde" error="Mängden du valt motsvarar ej hel påse parenteral nutrition. Önskar du ange hel påse kan du hitta rätt värde i rullistan." sqref="B14" xr:uid="{00000000-0002-0000-0500-00000A000000}">
      <formula1>$G$13:$G$15</formula1>
    </dataValidation>
  </dataValidations>
  <pageMargins left="0.75" right="0.75" top="1" bottom="1" header="0.5" footer="0.5"/>
  <pageSetup paperSize="9" scale="71" orientation="landscape" r:id="rId1"/>
  <headerFooter alignWithMargins="0">
    <oddFooter>&amp;LOriginalidé: Hans Larsson, ssk på hematologen 4, SUS Lund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9"/>
  </sheetPr>
  <dimension ref="A3:R22"/>
  <sheetViews>
    <sheetView tabSelected="1" topLeftCell="A24" zoomScaleNormal="100" zoomScaleSheetLayoutView="100" workbookViewId="0">
      <selection activeCell="R16" sqref="R16"/>
    </sheetView>
  </sheetViews>
  <sheetFormatPr defaultRowHeight="15.5" x14ac:dyDescent="0.35"/>
  <cols>
    <col min="1" max="2" width="13.453125" customWidth="1"/>
    <col min="3" max="3" width="10.6328125" customWidth="1"/>
    <col min="4" max="4" width="9.453125" customWidth="1"/>
    <col min="5" max="5" width="7.6328125" customWidth="1"/>
    <col min="6" max="6" width="43.08984375" style="8" bestFit="1" customWidth="1"/>
    <col min="7" max="7" width="11" bestFit="1" customWidth="1"/>
    <col min="8" max="8" width="9.08984375" customWidth="1"/>
    <col min="9" max="9" width="12.36328125" customWidth="1"/>
    <col min="10" max="10" width="6.08984375" customWidth="1"/>
    <col min="11" max="11" width="13.54296875" customWidth="1"/>
    <col min="12" max="12" width="5.08984375" bestFit="1" customWidth="1"/>
    <col min="13" max="13" width="10.36328125" customWidth="1"/>
    <col min="14" max="14" width="11.36328125" customWidth="1"/>
    <col min="18" max="18" width="13" customWidth="1"/>
  </cols>
  <sheetData>
    <row r="3" spans="2:12" ht="17.25" customHeight="1" x14ac:dyDescent="0.35">
      <c r="F3" s="9"/>
      <c r="I3" s="8"/>
      <c r="J3" s="8"/>
    </row>
    <row r="4" spans="2:12" ht="17.25" customHeight="1" x14ac:dyDescent="0.35">
      <c r="F4" s="9"/>
      <c r="I4" s="8"/>
      <c r="J4" s="8"/>
    </row>
    <row r="5" spans="2:12" ht="17.25" customHeight="1" x14ac:dyDescent="0.35">
      <c r="F5" s="9"/>
      <c r="I5" s="8"/>
      <c r="J5" s="8"/>
    </row>
    <row r="6" spans="2:12" ht="17.25" customHeight="1" x14ac:dyDescent="0.35">
      <c r="F6" s="9"/>
      <c r="I6" s="8"/>
      <c r="J6" s="8"/>
    </row>
    <row r="7" spans="2:12" ht="17.25" customHeight="1" x14ac:dyDescent="0.35">
      <c r="D7" s="59"/>
      <c r="E7" s="60"/>
      <c r="F7" s="60"/>
      <c r="I7" s="8"/>
      <c r="J7" s="8"/>
    </row>
    <row r="8" spans="2:12" ht="17.25" customHeight="1" x14ac:dyDescent="0.35">
      <c r="E8" s="19"/>
    </row>
    <row r="9" spans="2:12" ht="17.25" customHeight="1" x14ac:dyDescent="0.35"/>
    <row r="10" spans="2:12" ht="25.5" customHeight="1" thickBot="1" x14ac:dyDescent="0.45">
      <c r="B10" s="199"/>
      <c r="C10" s="199"/>
      <c r="D10" s="199"/>
      <c r="F10" s="200"/>
      <c r="G10" s="201"/>
      <c r="H10" s="201"/>
      <c r="I10" s="201"/>
      <c r="J10" s="201"/>
      <c r="K10" s="201"/>
      <c r="L10" s="105"/>
    </row>
    <row r="11" spans="2:12" ht="25.5" customHeight="1" x14ac:dyDescent="0.4">
      <c r="B11" s="97"/>
      <c r="C11" s="54"/>
      <c r="F11" s="96"/>
      <c r="G11" s="108" t="s">
        <v>109</v>
      </c>
      <c r="H11" s="108"/>
      <c r="I11" s="108" t="s">
        <v>110</v>
      </c>
      <c r="J11" s="108"/>
      <c r="K11" s="108" t="s">
        <v>111</v>
      </c>
      <c r="L11" s="106"/>
    </row>
    <row r="12" spans="2:12" ht="25.5" customHeight="1" x14ac:dyDescent="0.4">
      <c r="B12" s="97"/>
      <c r="C12" s="97"/>
      <c r="D12" s="98"/>
      <c r="F12" s="109" t="s">
        <v>86</v>
      </c>
      <c r="G12" s="120">
        <f>SUM('Frukost, mellanmål och dryck'!N44,'Lunch och middag'!B20,'Nya Måltider'!J22)</f>
        <v>0</v>
      </c>
      <c r="H12" s="110"/>
      <c r="I12" s="111">
        <f>SUM('Frukost, mellanmål och dryck'!N45,'Lunch och middag'!B21,'Nya Måltider'!J23)</f>
        <v>0</v>
      </c>
      <c r="J12" s="112"/>
      <c r="K12" s="113">
        <f>SUM('Frukost, mellanmål och dryck'!N46,'Lunch och middag'!B22,'Nya Måltider'!J24)</f>
        <v>0</v>
      </c>
      <c r="L12" s="114"/>
    </row>
    <row r="13" spans="2:12" ht="25.5" customHeight="1" x14ac:dyDescent="0.4">
      <c r="B13" s="97"/>
      <c r="C13" s="97"/>
      <c r="D13" s="98"/>
      <c r="F13" s="109" t="s">
        <v>87</v>
      </c>
      <c r="G13" s="121">
        <f>SUM(Näringsdrycker!C22)</f>
        <v>0</v>
      </c>
      <c r="H13" s="112"/>
      <c r="I13" s="111">
        <f>SUM(Näringsdrycker!C23)</f>
        <v>0</v>
      </c>
      <c r="J13" s="112"/>
      <c r="K13" s="111">
        <f>SUM(Näringsdrycker!C24)</f>
        <v>0</v>
      </c>
      <c r="L13" s="115"/>
    </row>
    <row r="14" spans="2:12" ht="25.5" customHeight="1" x14ac:dyDescent="0.4">
      <c r="B14" s="97"/>
      <c r="C14" s="97"/>
      <c r="D14" s="98"/>
      <c r="F14" s="109" t="s">
        <v>19</v>
      </c>
      <c r="G14" s="121">
        <f>SUM(Sondnäring!C24)</f>
        <v>0</v>
      </c>
      <c r="H14" s="112"/>
      <c r="I14" s="111">
        <f>SUM(Sondnäring!C25)</f>
        <v>0</v>
      </c>
      <c r="J14" s="112"/>
      <c r="K14" s="111">
        <f>SUM(Sondnäring!C26)</f>
        <v>0</v>
      </c>
      <c r="L14" s="115"/>
    </row>
    <row r="15" spans="2:12" ht="25.5" customHeight="1" x14ac:dyDescent="0.4">
      <c r="B15" s="97"/>
      <c r="C15" s="97"/>
      <c r="D15" s="97"/>
      <c r="E15" s="8"/>
      <c r="F15" s="109" t="s">
        <v>88</v>
      </c>
      <c r="G15" s="122">
        <f>SUM('Parenteral nutrition och vätska'!D21)</f>
        <v>0</v>
      </c>
      <c r="H15" s="110"/>
      <c r="I15" s="113">
        <f>SUM('Parenteral nutrition och vätska'!D22)</f>
        <v>0</v>
      </c>
      <c r="J15" s="110"/>
      <c r="K15" s="113">
        <f>SUM('Parenteral nutrition och vätska'!D23)</f>
        <v>0</v>
      </c>
      <c r="L15" s="116"/>
    </row>
    <row r="16" spans="2:12" s="54" customFormat="1" ht="17.25" customHeight="1" x14ac:dyDescent="0.35">
      <c r="E16" s="8"/>
      <c r="F16" s="117"/>
      <c r="G16" s="111"/>
      <c r="H16" s="118"/>
      <c r="I16" s="111"/>
      <c r="J16" s="118"/>
      <c r="K16" s="111"/>
      <c r="L16" s="119"/>
    </row>
    <row r="17" spans="1:18" s="54" customFormat="1" ht="27" customHeight="1" thickBot="1" x14ac:dyDescent="0.4">
      <c r="E17" s="8"/>
      <c r="F17" s="99" t="s">
        <v>108</v>
      </c>
      <c r="G17" s="123">
        <f>SUM(G12:G15)</f>
        <v>0</v>
      </c>
      <c r="H17" s="102" t="s">
        <v>23</v>
      </c>
      <c r="I17" s="101">
        <f>SUM(I12:I15)</f>
        <v>0</v>
      </c>
      <c r="J17" s="104" t="s">
        <v>44</v>
      </c>
      <c r="K17" s="103">
        <f>SUM(K12:K15)</f>
        <v>0</v>
      </c>
      <c r="L17" s="107" t="s">
        <v>2</v>
      </c>
      <c r="M17"/>
      <c r="N17"/>
      <c r="O17"/>
      <c r="P17"/>
      <c r="Q17"/>
      <c r="R17"/>
    </row>
    <row r="18" spans="1:18" ht="17.25" customHeight="1" x14ac:dyDescent="0.35">
      <c r="A18" s="8"/>
      <c r="F18" s="100"/>
      <c r="G18" s="100"/>
      <c r="H18" s="100"/>
      <c r="I18" s="100"/>
      <c r="J18" s="100"/>
      <c r="K18" s="100"/>
    </row>
    <row r="19" spans="1:18" ht="17.25" customHeight="1" x14ac:dyDescent="0.35">
      <c r="A19" s="59"/>
      <c r="F19"/>
    </row>
    <row r="20" spans="1:18" ht="17.25" customHeight="1" x14ac:dyDescent="0.35">
      <c r="A20" s="59"/>
      <c r="D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</row>
    <row r="21" spans="1:18" ht="17.25" customHeight="1" x14ac:dyDescent="0.35">
      <c r="E21" s="8"/>
    </row>
    <row r="22" spans="1:18" x14ac:dyDescent="0.35">
      <c r="B22" s="8"/>
      <c r="C22" s="8"/>
    </row>
  </sheetData>
  <sheetProtection algorithmName="SHA-512" hashValue="bZXW9ppHa0V/rlD9vZM7NjHyAAf8ySks6dOlbcqqsbuEHwvAC2t1Bdh3dg64wrKSXjZSfUmt075IFmslrRW2+A==" saltValue="MDlPV67c5RgJsdPyBZ017w==" spinCount="100000" sheet="1" selectLockedCells="1"/>
  <mergeCells count="2">
    <mergeCell ref="B10:D10"/>
    <mergeCell ref="F10:K10"/>
  </mergeCells>
  <phoneticPr fontId="3" type="noConversion"/>
  <pageMargins left="0.75" right="0.75" top="1" bottom="1" header="0.5" footer="0.5"/>
  <pageSetup paperSize="9" scale="71" orientation="landscape" r:id="rId1"/>
  <headerFooter alignWithMargins="0">
    <oddFooter>&amp;L&amp;8Originalidé: Hans Larsson, ssk på hematologen 4, SUS Lund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7</vt:i4>
      </vt:variant>
    </vt:vector>
  </HeadingPairs>
  <TitlesOfParts>
    <vt:vector size="14" baseType="lpstr">
      <vt:lpstr>Frukost, mellanmål och dryck</vt:lpstr>
      <vt:lpstr>Lunch och middag</vt:lpstr>
      <vt:lpstr>Nya Måltider</vt:lpstr>
      <vt:lpstr>Näringsdrycker</vt:lpstr>
      <vt:lpstr>Sondnäring</vt:lpstr>
      <vt:lpstr>Parenteral nutrition och vätska</vt:lpstr>
      <vt:lpstr>Resultat</vt:lpstr>
      <vt:lpstr>kcalsondmat</vt:lpstr>
      <vt:lpstr>'Parenteral nutrition och vätska'!mlPV</vt:lpstr>
      <vt:lpstr>'Frukost, mellanmål och dryck'!Utskriftsområde</vt:lpstr>
      <vt:lpstr>Näringsdrycker!Utskriftsområde</vt:lpstr>
      <vt:lpstr>'Parenteral nutrition och vätska'!Utskriftsområde</vt:lpstr>
      <vt:lpstr>Sondnäring!Utskriftsområde</vt:lpstr>
      <vt:lpstr>vätskasondmat</vt:lpstr>
    </vt:vector>
  </TitlesOfParts>
  <Company>Region Skåne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Ylva Dernbrant</dc:creator>
  <cp:lastModifiedBy>Bergh Börgdal Elisabet</cp:lastModifiedBy>
  <cp:lastPrinted>2013-11-19T11:15:54Z</cp:lastPrinted>
  <dcterms:created xsi:type="dcterms:W3CDTF">2009-06-24T09:27:55Z</dcterms:created>
  <dcterms:modified xsi:type="dcterms:W3CDTF">2026-07-02T13:18:12Z</dcterms:modified>
</cp:coreProperties>
</file>